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7505" yWindow="0" windowWidth="20040" windowHeight="12285" activeTab="2"/>
  </bookViews>
  <sheets>
    <sheet name="Acciaio" sheetId="1" r:id="rId1"/>
    <sheet name="Lega Al" sheetId="5" r:id="rId2"/>
    <sheet name="Verifica 4CM" sheetId="7" r:id="rId3"/>
  </sheets>
  <calcPr calcId="125725"/>
</workbook>
</file>

<file path=xl/calcChain.xml><?xml version="1.0" encoding="utf-8"?>
<calcChain xmlns="http://schemas.openxmlformats.org/spreadsheetml/2006/main">
  <c r="C85" i="7"/>
  <c r="C77"/>
  <c r="C62"/>
  <c r="C26"/>
  <c r="C37"/>
  <c r="C33"/>
  <c r="C35" s="1"/>
  <c r="C31"/>
  <c r="C21"/>
  <c r="C23" s="1"/>
  <c r="C55" s="1"/>
  <c r="C20" i="1"/>
  <c r="C49" i="5"/>
  <c r="C50" s="1"/>
  <c r="C52" i="1"/>
  <c r="C51"/>
  <c r="E55" i="7" l="1"/>
  <c r="C56" s="1"/>
  <c r="C58" s="1"/>
  <c r="C28"/>
  <c r="E28" s="1"/>
  <c r="C43"/>
  <c r="C39"/>
  <c r="C41" s="1"/>
  <c r="E23"/>
  <c r="C27"/>
  <c r="E27" s="1"/>
  <c r="C14" i="5"/>
  <c r="C17" s="1"/>
  <c r="C13"/>
  <c r="C26" s="1"/>
  <c r="C30"/>
  <c r="C24"/>
  <c r="C22" i="1"/>
  <c r="C19"/>
  <c r="C14"/>
  <c r="C13"/>
  <c r="C31"/>
  <c r="C27"/>
  <c r="C25"/>
  <c r="C17"/>
  <c r="C44" i="7" l="1"/>
  <c r="C49" s="1"/>
  <c r="C63" s="1"/>
  <c r="C28" i="5"/>
  <c r="C32"/>
  <c r="C34" s="1"/>
  <c r="C36"/>
  <c r="C41" s="1"/>
  <c r="C43" s="1"/>
  <c r="C44" s="1"/>
  <c r="C19"/>
  <c r="C21" s="1"/>
  <c r="C22" s="1"/>
  <c r="C23" i="1"/>
  <c r="C29"/>
  <c r="C67" i="7" l="1"/>
  <c r="C70" s="1"/>
  <c r="C86"/>
  <c r="C87" s="1"/>
  <c r="C64"/>
  <c r="C51"/>
  <c r="E51" s="1"/>
  <c r="C33" i="1"/>
  <c r="C35" s="1"/>
  <c r="C37"/>
  <c r="C42" s="1"/>
  <c r="C44" s="1"/>
  <c r="C45" s="1"/>
  <c r="C81" i="7" l="1"/>
  <c r="C78"/>
  <c r="C79" s="1"/>
  <c r="C90"/>
  <c r="C91" s="1"/>
  <c r="C72"/>
  <c r="E72" s="1"/>
</calcChain>
</file>

<file path=xl/sharedStrings.xml><?xml version="1.0" encoding="utf-8"?>
<sst xmlns="http://schemas.openxmlformats.org/spreadsheetml/2006/main" count="266" uniqueCount="97">
  <si>
    <t>FORATURA</t>
  </si>
  <si>
    <t>mm</t>
  </si>
  <si>
    <t>°</t>
  </si>
  <si>
    <t>Materiale da forare</t>
  </si>
  <si>
    <t>N/mm2</t>
  </si>
  <si>
    <t>Avanzamento a</t>
  </si>
  <si>
    <t>mm/giro</t>
  </si>
  <si>
    <t>Vel. Taglio vt</t>
  </si>
  <si>
    <t>m/min</t>
  </si>
  <si>
    <t>Calcolo numero di giri</t>
  </si>
  <si>
    <t>giri/min</t>
  </si>
  <si>
    <t>Calcolo tempo di foratura</t>
  </si>
  <si>
    <t>Extracorsa e</t>
  </si>
  <si>
    <t>min</t>
  </si>
  <si>
    <t>s</t>
  </si>
  <si>
    <t>Calcolo carico strappamento unitario del materiale</t>
  </si>
  <si>
    <t>mm2</t>
  </si>
  <si>
    <t>Calcolo sezione del truciolo asportata da 1 dente dalla punta</t>
  </si>
  <si>
    <t>S = (a/2)*(D/2)</t>
  </si>
  <si>
    <t>Calcolo forza di taglio su 1 dente</t>
  </si>
  <si>
    <t>F = Ks * S</t>
  </si>
  <si>
    <t>N</t>
  </si>
  <si>
    <t>n°= 1000 vt / 3,14 D</t>
  </si>
  <si>
    <t>Profondità foro  l</t>
  </si>
  <si>
    <t>Mt = F * b</t>
  </si>
  <si>
    <t>Calcolo braccio forza di taglio</t>
  </si>
  <si>
    <t>b= (0,45- 0,6) D</t>
  </si>
  <si>
    <t>Nm</t>
  </si>
  <si>
    <t>w</t>
  </si>
  <si>
    <t>Calcolo forza assiale di penetrazione (resistenza all'avanzamento):</t>
  </si>
  <si>
    <t>pressione</t>
  </si>
  <si>
    <t>BAR</t>
  </si>
  <si>
    <t>Calcolo area cilindro pneumatico</t>
  </si>
  <si>
    <t>m2</t>
  </si>
  <si>
    <t>Calcolo dimatro del cilindro</t>
  </si>
  <si>
    <t>Si scegliie il diametro commerciale maggiore + vicino.</t>
  </si>
  <si>
    <t>Utensile punta elicoidale in acciao superrapido</t>
  </si>
  <si>
    <t>D punta =</t>
  </si>
  <si>
    <t>Acciao con Rm</t>
  </si>
  <si>
    <t>Calcolo del Momento torcente da applicare</t>
  </si>
  <si>
    <t>Potenza ideale assorbita dal motore</t>
  </si>
  <si>
    <t>Scelta CILINDRO ad aria compressa:</t>
  </si>
  <si>
    <r>
      <t xml:space="preserve">Angolo </t>
    </r>
    <r>
      <rPr>
        <sz val="12"/>
        <color theme="1"/>
        <rFont val="Symbol"/>
        <family val="1"/>
        <charset val="2"/>
      </rPr>
      <t>b=</t>
    </r>
  </si>
  <si>
    <r>
      <t xml:space="preserve">P id. = Mt * </t>
    </r>
    <r>
      <rPr>
        <sz val="12"/>
        <color theme="1"/>
        <rFont val="Symbol"/>
        <family val="1"/>
        <charset val="2"/>
      </rPr>
      <t>w</t>
    </r>
  </si>
  <si>
    <r>
      <t>P = 2* D sen(</t>
    </r>
    <r>
      <rPr>
        <sz val="12"/>
        <color theme="1"/>
        <rFont val="Symbol"/>
        <family val="1"/>
        <charset val="2"/>
      </rPr>
      <t>b</t>
    </r>
    <r>
      <rPr>
        <sz val="12"/>
        <color theme="1"/>
        <rFont val="Calibri"/>
        <family val="2"/>
        <scheme val="minor"/>
      </rPr>
      <t>/2)</t>
    </r>
  </si>
  <si>
    <t>Ks = 5,5 * Rm</t>
  </si>
  <si>
    <t>Lega AL con Rm</t>
  </si>
  <si>
    <t>Valori medi Parametri di taglio da tabelle:</t>
  </si>
  <si>
    <t>Velocità di avanzamento punta</t>
  </si>
  <si>
    <t>va = a * n</t>
  </si>
  <si>
    <t>mm/min</t>
  </si>
  <si>
    <r>
      <t>t = l + e +D / 2tg(</t>
    </r>
    <r>
      <rPr>
        <sz val="12"/>
        <color theme="1"/>
        <rFont val="Symbol"/>
        <family val="1"/>
        <charset val="2"/>
      </rPr>
      <t>b</t>
    </r>
    <r>
      <rPr>
        <sz val="12"/>
        <color theme="1"/>
        <rFont val="Calibri"/>
        <family val="2"/>
        <scheme val="minor"/>
      </rPr>
      <t>/2) / va</t>
    </r>
  </si>
  <si>
    <t>Extracorsa e = e1+e2=(3-4)mm</t>
  </si>
  <si>
    <t>A cilindro = P/p</t>
  </si>
  <si>
    <t>D cilindro = (4*A/3,14)^0,5</t>
  </si>
  <si>
    <t>m/s</t>
  </si>
  <si>
    <t>Portata aria = v*A</t>
  </si>
  <si>
    <t>m3/s</t>
  </si>
  <si>
    <t>Portata aria per il cilindro</t>
  </si>
  <si>
    <t>Velocità pistone (da diagrammi)</t>
  </si>
  <si>
    <t>deve garantire ammortizzamento energia cinetica</t>
  </si>
  <si>
    <t>m3/h</t>
  </si>
  <si>
    <t>Utensile punta elicoidale METALLO DURO</t>
  </si>
  <si>
    <t>FORATURA PNEUMATICA</t>
  </si>
  <si>
    <t>Corsa cilindro</t>
  </si>
  <si>
    <t>Tempo di foratura utensile in presa</t>
  </si>
  <si>
    <t>Tempo totale corsa pistone</t>
  </si>
  <si>
    <t>Produzione oraria pezzi</t>
  </si>
  <si>
    <t>Tempo operatore (carico/scarico)</t>
  </si>
  <si>
    <t>pezzi/ora</t>
  </si>
  <si>
    <r>
      <t>P = 2* F sen(</t>
    </r>
    <r>
      <rPr>
        <sz val="12"/>
        <color theme="1"/>
        <rFont val="Symbol"/>
        <family val="1"/>
        <charset val="2"/>
      </rPr>
      <t>b</t>
    </r>
    <r>
      <rPr>
        <sz val="12"/>
        <color theme="1"/>
        <rFont val="Calibri"/>
        <family val="2"/>
        <scheme val="minor"/>
      </rPr>
      <t>/2)</t>
    </r>
  </si>
  <si>
    <t>Consumo di aria cilindro / pezzo</t>
  </si>
  <si>
    <t>Calcolo diamatro del cilindro</t>
  </si>
  <si>
    <t>Si sceglie il diametro commerciale maggiore + vicino.</t>
  </si>
  <si>
    <t>Corsa del pistone</t>
  </si>
  <si>
    <t>Tempo totale ciclo di lavoro</t>
  </si>
  <si>
    <t>pressione relativa aria</t>
  </si>
  <si>
    <t>Nm3</t>
  </si>
  <si>
    <t>Consumo orario</t>
  </si>
  <si>
    <t>Nm3/h</t>
  </si>
  <si>
    <t>Profondità foratura Lp</t>
  </si>
  <si>
    <r>
      <t>t = [l + e +D / 2tg(</t>
    </r>
    <r>
      <rPr>
        <sz val="12"/>
        <color theme="1"/>
        <rFont val="Symbol"/>
        <family val="1"/>
        <charset val="2"/>
      </rPr>
      <t>b</t>
    </r>
    <r>
      <rPr>
        <sz val="12"/>
        <color theme="1"/>
        <rFont val="Calibri"/>
        <family val="2"/>
        <scheme val="minor"/>
      </rPr>
      <t>/2)] / va</t>
    </r>
  </si>
  <si>
    <t>discesa + risalita</t>
  </si>
  <si>
    <t>Dimensionamento cilindro foratura</t>
  </si>
  <si>
    <t>Dimensionamento cilindro morsa pneumatica</t>
  </si>
  <si>
    <t>Portate aria cilindri</t>
  </si>
  <si>
    <t>p assoluta</t>
  </si>
  <si>
    <t>bar</t>
  </si>
  <si>
    <t>Consumo di aria cilindro foratura</t>
  </si>
  <si>
    <t>Consumo di aria cilindro morsa</t>
  </si>
  <si>
    <t>Consumo totale aria compressa</t>
  </si>
  <si>
    <t>PRESSA</t>
  </si>
  <si>
    <t>Calcoli forza di FORATURA</t>
  </si>
  <si>
    <t>P maggiorata del 20% x sicurezza</t>
  </si>
  <si>
    <t>Forza = 1/2 Foratura</t>
  </si>
  <si>
    <t>Velocità pistone (avanzamento)</t>
  </si>
  <si>
    <t>fissata dalla lavorazione tecnologica</t>
  </si>
</sst>
</file>

<file path=xl/styles.xml><?xml version="1.0" encoding="utf-8"?>
<styleSheet xmlns="http://schemas.openxmlformats.org/spreadsheetml/2006/main">
  <numFmts count="3">
    <numFmt numFmtId="164" formatCode="0.0"/>
    <numFmt numFmtId="165" formatCode="0.00000"/>
    <numFmt numFmtId="166" formatCode="0.000"/>
  </numFmts>
  <fonts count="5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Symbol"/>
      <family val="1"/>
      <charset val="2"/>
    </font>
    <font>
      <b/>
      <sz val="18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1" fillId="2" borderId="0" xfId="0" applyFont="1" applyFill="1"/>
    <xf numFmtId="0" fontId="2" fillId="2" borderId="0" xfId="0" applyFont="1" applyFill="1"/>
    <xf numFmtId="164" fontId="2" fillId="2" borderId="0" xfId="0" applyNumberFormat="1" applyFont="1" applyFill="1"/>
    <xf numFmtId="2" fontId="2" fillId="2" borderId="0" xfId="0" applyNumberFormat="1" applyFont="1" applyFill="1"/>
    <xf numFmtId="0" fontId="4" fillId="2" borderId="0" xfId="0" applyFont="1" applyFill="1"/>
    <xf numFmtId="1" fontId="2" fillId="2" borderId="0" xfId="0" applyNumberFormat="1" applyFont="1" applyFill="1"/>
    <xf numFmtId="165" fontId="2" fillId="2" borderId="0" xfId="0" applyNumberFormat="1" applyFont="1" applyFill="1"/>
    <xf numFmtId="166" fontId="2" fillId="2" borderId="0" xfId="0" applyNumberFormat="1" applyFont="1" applyFill="1"/>
  </cellXfs>
  <cellStyles count="1">
    <cellStyle name="Normale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21</xdr:row>
      <xdr:rowOff>114300</xdr:rowOff>
    </xdr:from>
    <xdr:to>
      <xdr:col>11</xdr:col>
      <xdr:colOff>284155</xdr:colOff>
      <xdr:row>36</xdr:row>
      <xdr:rowOff>142875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81500" y="3352800"/>
          <a:ext cx="3103555" cy="30289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210229</xdr:colOff>
      <xdr:row>37</xdr:row>
      <xdr:rowOff>133350</xdr:rowOff>
    </xdr:from>
    <xdr:to>
      <xdr:col>9</xdr:col>
      <xdr:colOff>112768</xdr:colOff>
      <xdr:row>45</xdr:row>
      <xdr:rowOff>190500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363129" y="6419850"/>
          <a:ext cx="1731339" cy="1657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219075</xdr:colOff>
      <xdr:row>2</xdr:row>
      <xdr:rowOff>171450</xdr:rowOff>
    </xdr:from>
    <xdr:to>
      <xdr:col>16</xdr:col>
      <xdr:colOff>56225</xdr:colOff>
      <xdr:row>19</xdr:row>
      <xdr:rowOff>0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867275" y="571500"/>
          <a:ext cx="5933150" cy="32289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12</xdr:col>
      <xdr:colOff>0</xdr:colOff>
      <xdr:row>21</xdr:row>
      <xdr:rowOff>85725</xdr:rowOff>
    </xdr:from>
    <xdr:to>
      <xdr:col>15</xdr:col>
      <xdr:colOff>238125</xdr:colOff>
      <xdr:row>37</xdr:row>
      <xdr:rowOff>95250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305800" y="4086225"/>
          <a:ext cx="2066925" cy="32099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20</xdr:row>
      <xdr:rowOff>114300</xdr:rowOff>
    </xdr:from>
    <xdr:to>
      <xdr:col>11</xdr:col>
      <xdr:colOff>284155</xdr:colOff>
      <xdr:row>35</xdr:row>
      <xdr:rowOff>142875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76800" y="4114800"/>
          <a:ext cx="3103555" cy="30289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210229</xdr:colOff>
      <xdr:row>36</xdr:row>
      <xdr:rowOff>133350</xdr:rowOff>
    </xdr:from>
    <xdr:to>
      <xdr:col>9</xdr:col>
      <xdr:colOff>112768</xdr:colOff>
      <xdr:row>44</xdr:row>
      <xdr:rowOff>190500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858429" y="7334250"/>
          <a:ext cx="1731339" cy="1657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180975</xdr:colOff>
      <xdr:row>1</xdr:row>
      <xdr:rowOff>180975</xdr:rowOff>
    </xdr:from>
    <xdr:to>
      <xdr:col>16</xdr:col>
      <xdr:colOff>18125</xdr:colOff>
      <xdr:row>18</xdr:row>
      <xdr:rowOff>9525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829175" y="381000"/>
          <a:ext cx="5933150" cy="32289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12</xdr:col>
      <xdr:colOff>0</xdr:colOff>
      <xdr:row>19</xdr:row>
      <xdr:rowOff>104775</xdr:rowOff>
    </xdr:from>
    <xdr:to>
      <xdr:col>15</xdr:col>
      <xdr:colOff>238125</xdr:colOff>
      <xdr:row>35</xdr:row>
      <xdr:rowOff>114300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305800" y="3905250"/>
          <a:ext cx="2066925" cy="32099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26</xdr:row>
      <xdr:rowOff>114300</xdr:rowOff>
    </xdr:from>
    <xdr:to>
      <xdr:col>11</xdr:col>
      <xdr:colOff>284156</xdr:colOff>
      <xdr:row>42</xdr:row>
      <xdr:rowOff>34019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76800" y="4324350"/>
          <a:ext cx="3103555" cy="30289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210229</xdr:colOff>
      <xdr:row>43</xdr:row>
      <xdr:rowOff>133350</xdr:rowOff>
    </xdr:from>
    <xdr:to>
      <xdr:col>9</xdr:col>
      <xdr:colOff>112769</xdr:colOff>
      <xdr:row>51</xdr:row>
      <xdr:rowOff>190501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858429" y="7543800"/>
          <a:ext cx="1731339" cy="1657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12</xdr:col>
      <xdr:colOff>0</xdr:colOff>
      <xdr:row>24</xdr:row>
      <xdr:rowOff>104775</xdr:rowOff>
    </xdr:from>
    <xdr:to>
      <xdr:col>15</xdr:col>
      <xdr:colOff>238124</xdr:colOff>
      <xdr:row>41</xdr:row>
      <xdr:rowOff>5442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305800" y="4114800"/>
          <a:ext cx="2066925" cy="32099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115814</xdr:colOff>
      <xdr:row>3</xdr:row>
      <xdr:rowOff>68036</xdr:rowOff>
    </xdr:from>
    <xdr:to>
      <xdr:col>18</xdr:col>
      <xdr:colOff>20410</xdr:colOff>
      <xdr:row>19</xdr:row>
      <xdr:rowOff>55789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626582" y="646340"/>
          <a:ext cx="7252453" cy="298812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E55"/>
  <sheetViews>
    <sheetView workbookViewId="0">
      <selection activeCell="C20" sqref="C20"/>
    </sheetView>
  </sheetViews>
  <sheetFormatPr defaultRowHeight="15.75"/>
  <cols>
    <col min="1" max="1" width="1.85546875" style="2" customWidth="1"/>
    <col min="2" max="2" width="31.28515625" style="2" customWidth="1"/>
    <col min="3" max="3" width="12.42578125" style="2" bestFit="1" customWidth="1"/>
    <col min="4" max="16384" width="9.140625" style="2"/>
  </cols>
  <sheetData>
    <row r="1" spans="2:4" ht="23.25">
      <c r="B1" s="5" t="s">
        <v>0</v>
      </c>
    </row>
    <row r="2" spans="2:4">
      <c r="B2" s="1"/>
    </row>
    <row r="3" spans="2:4">
      <c r="B3" s="1" t="s">
        <v>36</v>
      </c>
    </row>
    <row r="4" spans="2:4">
      <c r="B4" s="2" t="s">
        <v>37</v>
      </c>
      <c r="C4" s="2">
        <v>20</v>
      </c>
      <c r="D4" s="2" t="s">
        <v>1</v>
      </c>
    </row>
    <row r="5" spans="2:4">
      <c r="B5" s="2" t="s">
        <v>42</v>
      </c>
      <c r="C5" s="2">
        <v>120</v>
      </c>
      <c r="D5" s="2" t="s">
        <v>2</v>
      </c>
    </row>
    <row r="7" spans="2:4">
      <c r="B7" s="1" t="s">
        <v>3</v>
      </c>
    </row>
    <row r="8" spans="2:4">
      <c r="B8" s="2" t="s">
        <v>38</v>
      </c>
      <c r="C8" s="2">
        <v>500</v>
      </c>
      <c r="D8" s="2" t="s">
        <v>4</v>
      </c>
    </row>
    <row r="9" spans="2:4">
      <c r="B9" s="2" t="s">
        <v>23</v>
      </c>
      <c r="C9" s="2">
        <v>25</v>
      </c>
      <c r="D9" s="2" t="s">
        <v>1</v>
      </c>
    </row>
    <row r="10" spans="2:4">
      <c r="B10" s="2" t="s">
        <v>52</v>
      </c>
      <c r="C10" s="2">
        <v>3</v>
      </c>
      <c r="D10" s="2" t="s">
        <v>1</v>
      </c>
    </row>
    <row r="12" spans="2:4">
      <c r="B12" s="1" t="s">
        <v>47</v>
      </c>
    </row>
    <row r="13" spans="2:4">
      <c r="B13" s="2" t="s">
        <v>5</v>
      </c>
      <c r="C13" s="2">
        <f>(0.45+0.015)/2</f>
        <v>0.23250000000000001</v>
      </c>
      <c r="D13" s="2" t="s">
        <v>6</v>
      </c>
    </row>
    <row r="14" spans="2:4">
      <c r="B14" s="2" t="s">
        <v>7</v>
      </c>
      <c r="C14" s="2">
        <f>(25+40)/2</f>
        <v>32.5</v>
      </c>
      <c r="D14" s="2" t="s">
        <v>8</v>
      </c>
    </row>
    <row r="16" spans="2:4">
      <c r="B16" s="2" t="s">
        <v>9</v>
      </c>
    </row>
    <row r="17" spans="2:4">
      <c r="B17" s="2" t="s">
        <v>22</v>
      </c>
      <c r="C17" s="3">
        <f>1000*C14/(PI()*C4)</f>
        <v>517.25356504865988</v>
      </c>
      <c r="D17" s="2" t="s">
        <v>10</v>
      </c>
    </row>
    <row r="18" spans="2:4">
      <c r="B18" s="2" t="s">
        <v>48</v>
      </c>
      <c r="C18" s="3"/>
    </row>
    <row r="19" spans="2:4">
      <c r="B19" s="2" t="s">
        <v>49</v>
      </c>
      <c r="C19" s="3">
        <f>C13*C17</f>
        <v>120.26145387381342</v>
      </c>
      <c r="D19" s="2" t="s">
        <v>50</v>
      </c>
    </row>
    <row r="20" spans="2:4">
      <c r="C20" s="8">
        <f>C19/1000/60</f>
        <v>2.0043575645635569E-3</v>
      </c>
      <c r="D20" s="2" t="s">
        <v>55</v>
      </c>
    </row>
    <row r="21" spans="2:4">
      <c r="B21" s="2" t="s">
        <v>11</v>
      </c>
    </row>
    <row r="22" spans="2:4">
      <c r="B22" s="2" t="s">
        <v>51</v>
      </c>
      <c r="C22" s="4">
        <f>(C9+C10+C4/(2*TAN(RADIANS(C5/2))))/C19</f>
        <v>0.28083397966678286</v>
      </c>
      <c r="D22" s="2" t="s">
        <v>13</v>
      </c>
    </row>
    <row r="23" spans="2:4">
      <c r="C23" s="4">
        <f>C22*60</f>
        <v>16.850038780006972</v>
      </c>
      <c r="D23" s="2" t="s">
        <v>14</v>
      </c>
    </row>
    <row r="24" spans="2:4">
      <c r="B24" s="2" t="s">
        <v>15</v>
      </c>
    </row>
    <row r="25" spans="2:4">
      <c r="B25" s="2" t="s">
        <v>45</v>
      </c>
      <c r="C25" s="2">
        <f>5.5*C8</f>
        <v>2750</v>
      </c>
      <c r="D25" s="2" t="s">
        <v>4</v>
      </c>
    </row>
    <row r="26" spans="2:4">
      <c r="B26" s="2" t="s">
        <v>17</v>
      </c>
    </row>
    <row r="27" spans="2:4">
      <c r="B27" s="2" t="s">
        <v>18</v>
      </c>
      <c r="C27" s="2">
        <f>C13*C4/4</f>
        <v>1.1625000000000001</v>
      </c>
      <c r="D27" s="2" t="s">
        <v>16</v>
      </c>
    </row>
    <row r="28" spans="2:4">
      <c r="B28" s="2" t="s">
        <v>19</v>
      </c>
    </row>
    <row r="29" spans="2:4">
      <c r="B29" s="2" t="s">
        <v>20</v>
      </c>
      <c r="C29" s="4">
        <f>C25*C27</f>
        <v>3196.8750000000005</v>
      </c>
      <c r="D29" s="2" t="s">
        <v>21</v>
      </c>
    </row>
    <row r="30" spans="2:4">
      <c r="B30" s="2" t="s">
        <v>25</v>
      </c>
    </row>
    <row r="31" spans="2:4">
      <c r="B31" s="2" t="s">
        <v>26</v>
      </c>
      <c r="C31" s="2">
        <f>0.6*C4</f>
        <v>12</v>
      </c>
      <c r="D31" s="2" t="s">
        <v>1</v>
      </c>
    </row>
    <row r="32" spans="2:4">
      <c r="B32" s="2" t="s">
        <v>39</v>
      </c>
    </row>
    <row r="33" spans="2:4">
      <c r="B33" s="2" t="s">
        <v>24</v>
      </c>
      <c r="C33" s="4">
        <f>C29*C31/1000</f>
        <v>38.362500000000004</v>
      </c>
      <c r="D33" s="2" t="s">
        <v>27</v>
      </c>
    </row>
    <row r="34" spans="2:4">
      <c r="B34" s="2" t="s">
        <v>40</v>
      </c>
    </row>
    <row r="35" spans="2:4">
      <c r="B35" s="2" t="s">
        <v>43</v>
      </c>
      <c r="C35" s="4">
        <f>C33*2*3.14*C17/60</f>
        <v>2076.915308400758</v>
      </c>
      <c r="D35" s="2" t="s">
        <v>28</v>
      </c>
    </row>
    <row r="36" spans="2:4">
      <c r="B36" s="2" t="s">
        <v>29</v>
      </c>
    </row>
    <row r="37" spans="2:4">
      <c r="B37" s="2" t="s">
        <v>44</v>
      </c>
      <c r="C37" s="4">
        <f>2*C29*SIN(RADIANS(C5/2))</f>
        <v>5537.1499254467553</v>
      </c>
      <c r="D37" s="2" t="s">
        <v>21</v>
      </c>
    </row>
    <row r="39" spans="2:4">
      <c r="B39" s="1" t="s">
        <v>41</v>
      </c>
      <c r="C39" s="1"/>
    </row>
    <row r="40" spans="2:4">
      <c r="B40" s="2" t="s">
        <v>30</v>
      </c>
      <c r="C40" s="2">
        <v>6</v>
      </c>
      <c r="D40" s="2" t="s">
        <v>31</v>
      </c>
    </row>
    <row r="41" spans="2:4">
      <c r="B41" s="2" t="s">
        <v>32</v>
      </c>
    </row>
    <row r="42" spans="2:4">
      <c r="B42" s="2" t="s">
        <v>53</v>
      </c>
      <c r="C42" s="7">
        <f>C37/(100000*C40)</f>
        <v>9.2285832090779254E-3</v>
      </c>
      <c r="D42" s="2" t="s">
        <v>33</v>
      </c>
    </row>
    <row r="43" spans="2:4">
      <c r="B43" s="2" t="s">
        <v>34</v>
      </c>
    </row>
    <row r="44" spans="2:4">
      <c r="B44" s="2" t="s">
        <v>54</v>
      </c>
      <c r="C44" s="7">
        <f>(4*C42/3.14)^0.5</f>
        <v>0.10842581313616879</v>
      </c>
      <c r="D44" s="2" t="s">
        <v>33</v>
      </c>
    </row>
    <row r="45" spans="2:4">
      <c r="C45" s="6">
        <f>C44*1000</f>
        <v>108.4258131361688</v>
      </c>
      <c r="D45" s="2" t="s">
        <v>1</v>
      </c>
    </row>
    <row r="46" spans="2:4">
      <c r="B46" s="2" t="s">
        <v>35</v>
      </c>
    </row>
    <row r="49" spans="2:5">
      <c r="B49" s="1" t="s">
        <v>58</v>
      </c>
    </row>
    <row r="50" spans="2:5">
      <c r="B50" s="2" t="s">
        <v>59</v>
      </c>
      <c r="C50" s="2">
        <v>0.5</v>
      </c>
      <c r="D50" s="2" t="s">
        <v>55</v>
      </c>
      <c r="E50" s="2" t="s">
        <v>60</v>
      </c>
    </row>
    <row r="51" spans="2:5">
      <c r="B51" s="2" t="s">
        <v>56</v>
      </c>
      <c r="C51" s="7">
        <f>C50*C42</f>
        <v>4.6142916045389627E-3</v>
      </c>
      <c r="D51" s="2" t="s">
        <v>57</v>
      </c>
    </row>
    <row r="52" spans="2:5">
      <c r="C52" s="4">
        <f>C51*3600</f>
        <v>16.611449776340265</v>
      </c>
      <c r="D52" s="2" t="s">
        <v>61</v>
      </c>
    </row>
    <row r="55" spans="2:5">
      <c r="C55" s="3"/>
    </row>
  </sheetData>
  <pageMargins left="0.25" right="0.25" top="0.75" bottom="0.75" header="0.3" footer="0.3"/>
  <pageSetup paperSize="8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B1:E50"/>
  <sheetViews>
    <sheetView workbookViewId="0">
      <selection activeCell="C13" sqref="C13"/>
    </sheetView>
  </sheetViews>
  <sheetFormatPr defaultRowHeight="15.75"/>
  <cols>
    <col min="1" max="1" width="1.85546875" style="2" customWidth="1"/>
    <col min="2" max="2" width="31.28515625" style="2" customWidth="1"/>
    <col min="3" max="16384" width="9.140625" style="2"/>
  </cols>
  <sheetData>
    <row r="1" spans="2:4" ht="23.25">
      <c r="B1" s="5" t="s">
        <v>0</v>
      </c>
    </row>
    <row r="2" spans="2:4">
      <c r="B2" s="1"/>
    </row>
    <row r="3" spans="2:4">
      <c r="B3" s="1" t="s">
        <v>36</v>
      </c>
    </row>
    <row r="4" spans="2:4">
      <c r="B4" s="2" t="s">
        <v>37</v>
      </c>
      <c r="C4" s="2">
        <v>20</v>
      </c>
      <c r="D4" s="2" t="s">
        <v>1</v>
      </c>
    </row>
    <row r="5" spans="2:4">
      <c r="B5" s="2" t="s">
        <v>42</v>
      </c>
      <c r="C5" s="2">
        <v>120</v>
      </c>
      <c r="D5" s="2" t="s">
        <v>2</v>
      </c>
    </row>
    <row r="7" spans="2:4">
      <c r="B7" s="1" t="s">
        <v>3</v>
      </c>
    </row>
    <row r="8" spans="2:4">
      <c r="B8" s="2" t="s">
        <v>46</v>
      </c>
      <c r="C8" s="2">
        <v>150</v>
      </c>
      <c r="D8" s="2" t="s">
        <v>4</v>
      </c>
    </row>
    <row r="9" spans="2:4">
      <c r="B9" s="2" t="s">
        <v>23</v>
      </c>
      <c r="C9" s="2">
        <v>25</v>
      </c>
      <c r="D9" s="2" t="s">
        <v>1</v>
      </c>
    </row>
    <row r="10" spans="2:4">
      <c r="B10" s="2" t="s">
        <v>12</v>
      </c>
      <c r="C10" s="2">
        <v>3</v>
      </c>
      <c r="D10" s="2" t="s">
        <v>1</v>
      </c>
    </row>
    <row r="12" spans="2:4">
      <c r="B12" s="1" t="s">
        <v>47</v>
      </c>
    </row>
    <row r="13" spans="2:4">
      <c r="B13" s="2" t="s">
        <v>5</v>
      </c>
      <c r="C13" s="2">
        <f>(0.02+0.5)/2</f>
        <v>0.26</v>
      </c>
      <c r="D13" s="2" t="s">
        <v>6</v>
      </c>
    </row>
    <row r="14" spans="2:4">
      <c r="B14" s="2" t="s">
        <v>7</v>
      </c>
      <c r="C14" s="2">
        <f>(50+120)/2</f>
        <v>85</v>
      </c>
      <c r="D14" s="2" t="s">
        <v>8</v>
      </c>
    </row>
    <row r="16" spans="2:4">
      <c r="B16" s="2" t="s">
        <v>9</v>
      </c>
    </row>
    <row r="17" spans="2:4">
      <c r="B17" s="2" t="s">
        <v>22</v>
      </c>
      <c r="C17" s="3">
        <f>1000*C14/(PI()*C4)</f>
        <v>1352.8170162811105</v>
      </c>
      <c r="D17" s="2" t="s">
        <v>10</v>
      </c>
    </row>
    <row r="18" spans="2:4">
      <c r="B18" s="2" t="s">
        <v>48</v>
      </c>
      <c r="C18" s="3"/>
    </row>
    <row r="19" spans="2:4">
      <c r="B19" s="2" t="s">
        <v>49</v>
      </c>
      <c r="C19" s="3">
        <f>C13*C17</f>
        <v>351.73242423308875</v>
      </c>
      <c r="D19" s="2" t="s">
        <v>50</v>
      </c>
    </row>
    <row r="20" spans="2:4">
      <c r="B20" s="2" t="s">
        <v>11</v>
      </c>
    </row>
    <row r="21" spans="2:4">
      <c r="B21" s="2" t="s">
        <v>51</v>
      </c>
      <c r="C21" s="4">
        <f>(C9+C10+C4/(2*TAN(RADIANS(C5/2))))/C19</f>
        <v>9.6020441577245597E-2</v>
      </c>
      <c r="D21" s="2" t="s">
        <v>13</v>
      </c>
    </row>
    <row r="22" spans="2:4">
      <c r="C22" s="4">
        <f>C21*60</f>
        <v>5.7612264946347356</v>
      </c>
      <c r="D22" s="2" t="s">
        <v>14</v>
      </c>
    </row>
    <row r="23" spans="2:4">
      <c r="B23" s="2" t="s">
        <v>15</v>
      </c>
    </row>
    <row r="24" spans="2:4">
      <c r="B24" s="2" t="s">
        <v>45</v>
      </c>
      <c r="C24" s="2">
        <f>5.5*C8</f>
        <v>825</v>
      </c>
      <c r="D24" s="2" t="s">
        <v>4</v>
      </c>
    </row>
    <row r="25" spans="2:4">
      <c r="B25" s="2" t="s">
        <v>17</v>
      </c>
    </row>
    <row r="26" spans="2:4">
      <c r="B26" s="2" t="s">
        <v>18</v>
      </c>
      <c r="C26" s="2">
        <f>C13*C4/4</f>
        <v>1.3</v>
      </c>
      <c r="D26" s="2" t="s">
        <v>16</v>
      </c>
    </row>
    <row r="27" spans="2:4">
      <c r="B27" s="2" t="s">
        <v>19</v>
      </c>
    </row>
    <row r="28" spans="2:4">
      <c r="B28" s="2" t="s">
        <v>20</v>
      </c>
      <c r="C28" s="2">
        <f>C24*C26</f>
        <v>1072.5</v>
      </c>
      <c r="D28" s="2" t="s">
        <v>21</v>
      </c>
    </row>
    <row r="29" spans="2:4">
      <c r="B29" s="2" t="s">
        <v>25</v>
      </c>
    </row>
    <row r="30" spans="2:4">
      <c r="B30" s="2" t="s">
        <v>26</v>
      </c>
      <c r="C30" s="2">
        <f>0.6*C4</f>
        <v>12</v>
      </c>
      <c r="D30" s="2" t="s">
        <v>1</v>
      </c>
    </row>
    <row r="31" spans="2:4">
      <c r="B31" s="2" t="s">
        <v>39</v>
      </c>
    </row>
    <row r="32" spans="2:4">
      <c r="B32" s="2" t="s">
        <v>24</v>
      </c>
      <c r="C32" s="2">
        <f>C28*C30/1000</f>
        <v>12.87</v>
      </c>
      <c r="D32" s="2" t="s">
        <v>27</v>
      </c>
    </row>
    <row r="33" spans="2:5">
      <c r="B33" s="2" t="s">
        <v>40</v>
      </c>
    </row>
    <row r="34" spans="2:5">
      <c r="B34" s="2" t="s">
        <v>43</v>
      </c>
      <c r="C34" s="2">
        <f>C32*2*3.14*C17/60</f>
        <v>1822.3256899516325</v>
      </c>
      <c r="D34" s="2" t="s">
        <v>28</v>
      </c>
    </row>
    <row r="35" spans="2:5">
      <c r="B35" s="2" t="s">
        <v>29</v>
      </c>
    </row>
    <row r="36" spans="2:5">
      <c r="B36" s="2" t="s">
        <v>44</v>
      </c>
      <c r="C36" s="3">
        <f>2*C28*SIN(RADIANS(C5/2))</f>
        <v>1857.6244911176209</v>
      </c>
      <c r="D36" s="2" t="s">
        <v>21</v>
      </c>
    </row>
    <row r="38" spans="2:5">
      <c r="B38" s="1" t="s">
        <v>41</v>
      </c>
      <c r="C38" s="1"/>
    </row>
    <row r="39" spans="2:5">
      <c r="B39" s="2" t="s">
        <v>30</v>
      </c>
      <c r="C39" s="2">
        <v>6</v>
      </c>
      <c r="D39" s="2" t="s">
        <v>31</v>
      </c>
    </row>
    <row r="40" spans="2:5">
      <c r="B40" s="2" t="s">
        <v>32</v>
      </c>
    </row>
    <row r="41" spans="2:5">
      <c r="B41" s="2" t="s">
        <v>53</v>
      </c>
      <c r="C41" s="2">
        <f>C36/(100000*C39)</f>
        <v>3.096040818529368E-3</v>
      </c>
      <c r="D41" s="2" t="s">
        <v>33</v>
      </c>
    </row>
    <row r="42" spans="2:5">
      <c r="B42" s="2" t="s">
        <v>34</v>
      </c>
    </row>
    <row r="43" spans="2:5">
      <c r="B43" s="2" t="s">
        <v>54</v>
      </c>
      <c r="C43" s="2">
        <f>(4*C41/3.14)^0.5</f>
        <v>6.2801282174113057E-2</v>
      </c>
      <c r="D43" s="2" t="s">
        <v>33</v>
      </c>
    </row>
    <row r="44" spans="2:5">
      <c r="C44" s="6">
        <f>C43*1000</f>
        <v>62.801282174113055</v>
      </c>
      <c r="D44" s="2" t="s">
        <v>1</v>
      </c>
    </row>
    <row r="45" spans="2:5">
      <c r="B45" s="2" t="s">
        <v>35</v>
      </c>
    </row>
    <row r="47" spans="2:5">
      <c r="B47" s="1" t="s">
        <v>58</v>
      </c>
    </row>
    <row r="48" spans="2:5">
      <c r="B48" s="2" t="s">
        <v>59</v>
      </c>
      <c r="C48" s="2">
        <v>0.5</v>
      </c>
      <c r="D48" s="2" t="s">
        <v>55</v>
      </c>
      <c r="E48" s="2" t="s">
        <v>60</v>
      </c>
    </row>
    <row r="49" spans="2:4">
      <c r="B49" s="2" t="s">
        <v>56</v>
      </c>
      <c r="C49" s="7">
        <f>C48*C41</f>
        <v>1.548020409264684E-3</v>
      </c>
      <c r="D49" s="2" t="s">
        <v>57</v>
      </c>
    </row>
    <row r="50" spans="2:4">
      <c r="C50" s="4">
        <f>C49*3600</f>
        <v>5.5728734733528622</v>
      </c>
      <c r="D50" s="2" t="s">
        <v>61</v>
      </c>
    </row>
  </sheetData>
  <pageMargins left="0.25" right="0.25" top="0.75" bottom="0.75" header="0.3" footer="0.3"/>
  <pageSetup paperSize="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B1:G91"/>
  <sheetViews>
    <sheetView tabSelected="1" zoomScale="140" zoomScaleNormal="140" workbookViewId="0">
      <selection activeCell="Q26" sqref="Q26"/>
    </sheetView>
  </sheetViews>
  <sheetFormatPr defaultRowHeight="15.75"/>
  <cols>
    <col min="1" max="1" width="1.85546875" style="2" customWidth="1"/>
    <col min="2" max="2" width="32.5703125" style="2" customWidth="1"/>
    <col min="3" max="4" width="9.140625" style="2"/>
    <col min="5" max="5" width="5.7109375" style="2" customWidth="1"/>
    <col min="6" max="16384" width="9.140625" style="2"/>
  </cols>
  <sheetData>
    <row r="1" spans="2:4" ht="23.25">
      <c r="B1" s="5" t="s">
        <v>63</v>
      </c>
    </row>
    <row r="2" spans="2:4" ht="6.75" customHeight="1">
      <c r="B2" s="1"/>
    </row>
    <row r="3" spans="2:4">
      <c r="B3" s="1" t="s">
        <v>68</v>
      </c>
      <c r="C3" s="2">
        <v>15</v>
      </c>
      <c r="D3" s="2" t="s">
        <v>14</v>
      </c>
    </row>
    <row r="4" spans="2:4" ht="10.5" customHeight="1">
      <c r="B4" s="1"/>
    </row>
    <row r="5" spans="2:4">
      <c r="B5" s="1" t="s">
        <v>62</v>
      </c>
    </row>
    <row r="6" spans="2:4">
      <c r="B6" s="2" t="s">
        <v>37</v>
      </c>
      <c r="C6" s="2">
        <v>14</v>
      </c>
      <c r="D6" s="2" t="s">
        <v>1</v>
      </c>
    </row>
    <row r="7" spans="2:4">
      <c r="B7" s="2" t="s">
        <v>42</v>
      </c>
      <c r="C7" s="2">
        <v>120</v>
      </c>
      <c r="D7" s="2" t="s">
        <v>2</v>
      </c>
    </row>
    <row r="8" spans="2:4">
      <c r="B8" s="2" t="s">
        <v>64</v>
      </c>
      <c r="C8" s="2">
        <v>100</v>
      </c>
      <c r="D8" s="2" t="s">
        <v>1</v>
      </c>
    </row>
    <row r="9" spans="2:4" ht="9" customHeight="1"/>
    <row r="10" spans="2:4">
      <c r="B10" s="1" t="s">
        <v>3</v>
      </c>
    </row>
    <row r="11" spans="2:4">
      <c r="B11" s="2" t="s">
        <v>46</v>
      </c>
      <c r="C11" s="2">
        <v>250</v>
      </c>
      <c r="D11" s="2" t="s">
        <v>4</v>
      </c>
    </row>
    <row r="12" spans="2:4">
      <c r="B12" s="2" t="s">
        <v>23</v>
      </c>
      <c r="C12" s="2">
        <v>20</v>
      </c>
      <c r="D12" s="2" t="s">
        <v>1</v>
      </c>
    </row>
    <row r="13" spans="2:4">
      <c r="B13" s="2" t="s">
        <v>12</v>
      </c>
      <c r="C13" s="2">
        <v>4</v>
      </c>
      <c r="D13" s="2" t="s">
        <v>1</v>
      </c>
    </row>
    <row r="15" spans="2:4">
      <c r="B15" s="1" t="s">
        <v>47</v>
      </c>
    </row>
    <row r="16" spans="2:4">
      <c r="B16" s="2" t="s">
        <v>5</v>
      </c>
      <c r="C16" s="2">
        <v>0.8</v>
      </c>
      <c r="D16" s="2" t="s">
        <v>6</v>
      </c>
    </row>
    <row r="17" spans="2:6">
      <c r="B17" s="2" t="s">
        <v>7</v>
      </c>
      <c r="C17" s="2">
        <v>170</v>
      </c>
      <c r="D17" s="2" t="s">
        <v>8</v>
      </c>
    </row>
    <row r="18" spans="2:6" ht="15" customHeight="1"/>
    <row r="19" spans="2:6" ht="15" customHeight="1">
      <c r="B19" s="1" t="s">
        <v>92</v>
      </c>
    </row>
    <row r="20" spans="2:6">
      <c r="B20" s="2" t="s">
        <v>9</v>
      </c>
    </row>
    <row r="21" spans="2:6">
      <c r="B21" s="2" t="s">
        <v>22</v>
      </c>
      <c r="C21" s="3">
        <f>1000*C17/(PI()*C6)</f>
        <v>3865.1914750888868</v>
      </c>
      <c r="D21" s="2" t="s">
        <v>10</v>
      </c>
    </row>
    <row r="22" spans="2:6">
      <c r="B22" s="2" t="s">
        <v>48</v>
      </c>
      <c r="C22" s="3"/>
    </row>
    <row r="23" spans="2:6">
      <c r="B23" s="2" t="s">
        <v>49</v>
      </c>
      <c r="C23" s="3">
        <f>C16*C21</f>
        <v>3092.1531800711095</v>
      </c>
      <c r="D23" s="2" t="s">
        <v>50</v>
      </c>
      <c r="E23" s="8">
        <f>C23/1000/60</f>
        <v>5.1535886334518492E-2</v>
      </c>
      <c r="F23" s="2" t="s">
        <v>55</v>
      </c>
    </row>
    <row r="24" spans="2:6" ht="12" customHeight="1"/>
    <row r="25" spans="2:6">
      <c r="B25" s="2" t="s">
        <v>65</v>
      </c>
    </row>
    <row r="26" spans="2:6">
      <c r="B26" s="2" t="s">
        <v>80</v>
      </c>
      <c r="C26" s="3">
        <f>(C12+C13+C6/(2*TAN(RADIANS(C7/2))))</f>
        <v>28.04145188432738</v>
      </c>
      <c r="D26" s="2" t="s">
        <v>1</v>
      </c>
    </row>
    <row r="27" spans="2:6">
      <c r="B27" s="2" t="s">
        <v>81</v>
      </c>
      <c r="C27" s="8">
        <f>(C12+C13+C6/(2*TAN(RADIANS(C7/2))))/C23</f>
        <v>9.0685843330964976E-3</v>
      </c>
      <c r="D27" s="2" t="s">
        <v>13</v>
      </c>
      <c r="E27" s="4">
        <f>C27*60</f>
        <v>0.54411505998578991</v>
      </c>
      <c r="F27" s="2" t="s">
        <v>14</v>
      </c>
    </row>
    <row r="28" spans="2:6">
      <c r="B28" s="2" t="s">
        <v>66</v>
      </c>
      <c r="C28" s="4">
        <f>(100)/C23</f>
        <v>3.2339924375189046E-2</v>
      </c>
      <c r="D28" s="2" t="s">
        <v>13</v>
      </c>
      <c r="E28" s="4">
        <f>C28*60</f>
        <v>1.9403954625113427</v>
      </c>
      <c r="F28" s="2" t="s">
        <v>14</v>
      </c>
    </row>
    <row r="29" spans="2:6" ht="9.75" customHeight="1">
      <c r="C29" s="4"/>
    </row>
    <row r="30" spans="2:6" ht="15" customHeight="1">
      <c r="B30" s="2" t="s">
        <v>15</v>
      </c>
    </row>
    <row r="31" spans="2:6" ht="15" customHeight="1">
      <c r="B31" s="2" t="s">
        <v>45</v>
      </c>
      <c r="C31" s="2">
        <f>5.5*C11</f>
        <v>1375</v>
      </c>
      <c r="D31" s="2" t="s">
        <v>4</v>
      </c>
    </row>
    <row r="32" spans="2:6">
      <c r="B32" s="2" t="s">
        <v>17</v>
      </c>
    </row>
    <row r="33" spans="2:4">
      <c r="B33" s="2" t="s">
        <v>18</v>
      </c>
      <c r="C33" s="2">
        <f>C16*C6/4</f>
        <v>2.8000000000000003</v>
      </c>
      <c r="D33" s="2" t="s">
        <v>16</v>
      </c>
    </row>
    <row r="34" spans="2:4">
      <c r="B34" s="2" t="s">
        <v>19</v>
      </c>
    </row>
    <row r="35" spans="2:4">
      <c r="B35" s="2" t="s">
        <v>20</v>
      </c>
      <c r="C35" s="2">
        <f>C31*C33</f>
        <v>3850.0000000000005</v>
      </c>
      <c r="D35" s="2" t="s">
        <v>21</v>
      </c>
    </row>
    <row r="36" spans="2:4">
      <c r="B36" s="2" t="s">
        <v>25</v>
      </c>
    </row>
    <row r="37" spans="2:4">
      <c r="B37" s="2" t="s">
        <v>26</v>
      </c>
      <c r="C37" s="2">
        <f>0.6*C6</f>
        <v>8.4</v>
      </c>
      <c r="D37" s="2" t="s">
        <v>1</v>
      </c>
    </row>
    <row r="38" spans="2:4">
      <c r="B38" s="2" t="s">
        <v>39</v>
      </c>
    </row>
    <row r="39" spans="2:4">
      <c r="B39" s="2" t="s">
        <v>24</v>
      </c>
      <c r="C39" s="2">
        <f>C35*C37/1000</f>
        <v>32.340000000000003</v>
      </c>
      <c r="D39" s="2" t="s">
        <v>27</v>
      </c>
    </row>
    <row r="40" spans="2:4">
      <c r="B40" s="2" t="s">
        <v>40</v>
      </c>
    </row>
    <row r="41" spans="2:4">
      <c r="B41" s="2" t="s">
        <v>43</v>
      </c>
      <c r="C41" s="2">
        <f>C39*2*3.14*C21/60</f>
        <v>13083.363927857876</v>
      </c>
      <c r="D41" s="2" t="s">
        <v>28</v>
      </c>
    </row>
    <row r="42" spans="2:4">
      <c r="B42" s="2" t="s">
        <v>29</v>
      </c>
    </row>
    <row r="43" spans="2:4">
      <c r="B43" s="2" t="s">
        <v>70</v>
      </c>
      <c r="C43" s="3">
        <f>2*C35*SIN(RADIANS(C7/2))</f>
        <v>6668.3956091401778</v>
      </c>
      <c r="D43" s="2" t="s">
        <v>21</v>
      </c>
    </row>
    <row r="44" spans="2:4">
      <c r="B44" s="2" t="s">
        <v>93</v>
      </c>
      <c r="C44" s="6">
        <f>C43*1.2</f>
        <v>8002.0747309682129</v>
      </c>
      <c r="D44" s="2" t="s">
        <v>21</v>
      </c>
    </row>
    <row r="46" spans="2:4">
      <c r="B46" s="1" t="s">
        <v>83</v>
      </c>
      <c r="C46" s="1"/>
    </row>
    <row r="47" spans="2:4">
      <c r="B47" s="2" t="s">
        <v>76</v>
      </c>
      <c r="C47" s="2">
        <v>6</v>
      </c>
      <c r="D47" s="2" t="s">
        <v>31</v>
      </c>
    </row>
    <row r="48" spans="2:4">
      <c r="B48" s="2" t="s">
        <v>32</v>
      </c>
    </row>
    <row r="49" spans="2:7">
      <c r="B49" s="2" t="s">
        <v>53</v>
      </c>
      <c r="C49" s="2">
        <f>C44/(100000*C47)</f>
        <v>1.3336791218280354E-2</v>
      </c>
      <c r="D49" s="2" t="s">
        <v>33</v>
      </c>
    </row>
    <row r="50" spans="2:7">
      <c r="B50" s="2" t="s">
        <v>72</v>
      </c>
    </row>
    <row r="51" spans="2:7">
      <c r="B51" s="2" t="s">
        <v>54</v>
      </c>
      <c r="C51" s="2">
        <f>(4*C49/3.14)^0.5</f>
        <v>0.13034394099160646</v>
      </c>
      <c r="D51" s="2" t="s">
        <v>33</v>
      </c>
      <c r="E51" s="6">
        <f>C51*1000</f>
        <v>130.34394099160644</v>
      </c>
      <c r="F51" s="2" t="s">
        <v>1</v>
      </c>
    </row>
    <row r="52" spans="2:7">
      <c r="B52" s="2" t="s">
        <v>73</v>
      </c>
    </row>
    <row r="53" spans="2:7" ht="11.25" customHeight="1"/>
    <row r="54" spans="2:7">
      <c r="B54" s="2" t="s">
        <v>74</v>
      </c>
      <c r="C54" s="2">
        <v>100</v>
      </c>
      <c r="D54" s="2" t="s">
        <v>1</v>
      </c>
    </row>
    <row r="55" spans="2:7">
      <c r="B55" s="2" t="s">
        <v>66</v>
      </c>
      <c r="C55" s="4">
        <f>2*(100)/C23</f>
        <v>6.4679848750378091E-2</v>
      </c>
      <c r="D55" s="2" t="s">
        <v>13</v>
      </c>
      <c r="E55" s="4">
        <f>C55*60</f>
        <v>3.8807909250226853</v>
      </c>
      <c r="F55" s="2" t="s">
        <v>14</v>
      </c>
      <c r="G55" s="2" t="s">
        <v>82</v>
      </c>
    </row>
    <row r="56" spans="2:7">
      <c r="B56" s="2" t="s">
        <v>75</v>
      </c>
      <c r="C56" s="4">
        <f>E55+C3</f>
        <v>18.880790925022687</v>
      </c>
      <c r="D56" s="2" t="s">
        <v>14</v>
      </c>
    </row>
    <row r="57" spans="2:7" ht="6.75" customHeight="1"/>
    <row r="58" spans="2:7">
      <c r="B58" s="2" t="s">
        <v>67</v>
      </c>
      <c r="C58" s="6">
        <f>3600/(C56+C3)</f>
        <v>106.25489847526602</v>
      </c>
      <c r="D58" s="2" t="s">
        <v>69</v>
      </c>
    </row>
    <row r="59" spans="2:7">
      <c r="C59" s="6"/>
    </row>
    <row r="60" spans="2:7">
      <c r="B60" s="1" t="s">
        <v>88</v>
      </c>
    </row>
    <row r="61" spans="2:7">
      <c r="B61" s="2" t="s">
        <v>64</v>
      </c>
      <c r="C61" s="2">
        <v>100</v>
      </c>
      <c r="D61" s="2" t="s">
        <v>1</v>
      </c>
    </row>
    <row r="62" spans="2:7">
      <c r="B62" s="2" t="s">
        <v>86</v>
      </c>
      <c r="C62" s="2">
        <f>C47+1</f>
        <v>7</v>
      </c>
      <c r="D62" s="2" t="s">
        <v>87</v>
      </c>
    </row>
    <row r="63" spans="2:7">
      <c r="B63" s="2" t="s">
        <v>71</v>
      </c>
      <c r="C63" s="2">
        <f>C62*2*(C61/1000)*C49</f>
        <v>1.8671507705592498E-2</v>
      </c>
      <c r="D63" s="2" t="s">
        <v>77</v>
      </c>
    </row>
    <row r="64" spans="2:7">
      <c r="B64" s="2" t="s">
        <v>78</v>
      </c>
      <c r="C64" s="2">
        <f>C63*C58</f>
        <v>1.983939155637878</v>
      </c>
      <c r="D64" s="2" t="s">
        <v>79</v>
      </c>
    </row>
    <row r="66" spans="2:6">
      <c r="B66" s="1" t="s">
        <v>84</v>
      </c>
    </row>
    <row r="67" spans="2:6">
      <c r="B67" s="2" t="s">
        <v>94</v>
      </c>
      <c r="C67" s="4">
        <f>0.5*C44</f>
        <v>4001.0373654841064</v>
      </c>
      <c r="D67" s="2" t="s">
        <v>21</v>
      </c>
    </row>
    <row r="68" spans="2:6">
      <c r="B68" s="2" t="s">
        <v>76</v>
      </c>
      <c r="C68" s="2">
        <v>6</v>
      </c>
      <c r="D68" s="2" t="s">
        <v>31</v>
      </c>
    </row>
    <row r="69" spans="2:6">
      <c r="B69" s="2" t="s">
        <v>32</v>
      </c>
    </row>
    <row r="70" spans="2:6">
      <c r="B70" s="2" t="s">
        <v>53</v>
      </c>
      <c r="C70" s="2">
        <f>C67/(100000*C68)</f>
        <v>6.6683956091401772E-3</v>
      </c>
      <c r="D70" s="2" t="s">
        <v>33</v>
      </c>
    </row>
    <row r="71" spans="2:6">
      <c r="B71" s="2" t="s">
        <v>72</v>
      </c>
    </row>
    <row r="72" spans="2:6">
      <c r="B72" s="2" t="s">
        <v>54</v>
      </c>
      <c r="C72" s="2">
        <f>(4*C70/3.14)^0.5</f>
        <v>9.216708456174412E-2</v>
      </c>
      <c r="D72" s="2" t="s">
        <v>33</v>
      </c>
      <c r="E72" s="6">
        <f>C72*1000</f>
        <v>92.167084561744119</v>
      </c>
      <c r="F72" s="2" t="s">
        <v>1</v>
      </c>
    </row>
    <row r="73" spans="2:6">
      <c r="B73" s="2" t="s">
        <v>73</v>
      </c>
    </row>
    <row r="75" spans="2:6">
      <c r="B75" s="1" t="s">
        <v>89</v>
      </c>
    </row>
    <row r="76" spans="2:6">
      <c r="B76" s="2" t="s">
        <v>64</v>
      </c>
      <c r="C76" s="2">
        <v>100</v>
      </c>
      <c r="D76" s="2" t="s">
        <v>1</v>
      </c>
    </row>
    <row r="77" spans="2:6">
      <c r="B77" s="2" t="s">
        <v>86</v>
      </c>
      <c r="C77" s="2">
        <f>C47+1</f>
        <v>7</v>
      </c>
      <c r="D77" s="2" t="s">
        <v>87</v>
      </c>
    </row>
    <row r="78" spans="2:6">
      <c r="B78" s="2" t="s">
        <v>71</v>
      </c>
      <c r="C78" s="2">
        <f>C77*2*(C76/1000)*C70</f>
        <v>9.335753852796249E-3</v>
      </c>
      <c r="D78" s="2" t="s">
        <v>77</v>
      </c>
    </row>
    <row r="79" spans="2:6">
      <c r="B79" s="2" t="s">
        <v>78</v>
      </c>
      <c r="C79" s="2">
        <f>C78*C58</f>
        <v>0.99196957781893902</v>
      </c>
      <c r="D79" s="2" t="s">
        <v>79</v>
      </c>
    </row>
    <row r="81" spans="2:5">
      <c r="B81" s="1" t="s">
        <v>90</v>
      </c>
      <c r="C81" s="4">
        <f>C64+C79</f>
        <v>2.9759087334568171</v>
      </c>
      <c r="D81" s="2" t="s">
        <v>79</v>
      </c>
    </row>
    <row r="83" spans="2:5">
      <c r="B83" s="1" t="s">
        <v>85</v>
      </c>
    </row>
    <row r="84" spans="2:5">
      <c r="B84" s="1" t="s">
        <v>0</v>
      </c>
    </row>
    <row r="85" spans="2:5">
      <c r="B85" s="2" t="s">
        <v>95</v>
      </c>
      <c r="C85" s="8">
        <f>E23</f>
        <v>5.1535886334518492E-2</v>
      </c>
      <c r="D85" s="2" t="s">
        <v>55</v>
      </c>
      <c r="E85" s="2" t="s">
        <v>96</v>
      </c>
    </row>
    <row r="86" spans="2:5">
      <c r="B86" s="2" t="s">
        <v>56</v>
      </c>
      <c r="C86" s="7">
        <f>C85*C49</f>
        <v>6.873233562925007E-4</v>
      </c>
      <c r="D86" s="2" t="s">
        <v>57</v>
      </c>
    </row>
    <row r="87" spans="2:5">
      <c r="C87" s="4">
        <f>C86*3600</f>
        <v>2.4743640826530027</v>
      </c>
      <c r="D87" s="2" t="s">
        <v>61</v>
      </c>
    </row>
    <row r="88" spans="2:5">
      <c r="B88" s="1" t="s">
        <v>91</v>
      </c>
    </row>
    <row r="89" spans="2:5">
      <c r="B89" s="2" t="s">
        <v>59</v>
      </c>
      <c r="C89" s="8">
        <v>1</v>
      </c>
      <c r="D89" s="2" t="s">
        <v>55</v>
      </c>
      <c r="E89" s="2" t="s">
        <v>60</v>
      </c>
    </row>
    <row r="90" spans="2:5">
      <c r="B90" s="2" t="s">
        <v>56</v>
      </c>
      <c r="C90" s="7">
        <f>C89*C70</f>
        <v>6.6683956091401772E-3</v>
      </c>
      <c r="D90" s="2" t="s">
        <v>57</v>
      </c>
    </row>
    <row r="91" spans="2:5">
      <c r="C91" s="4">
        <f>C90*3600</f>
        <v>24.006224192904639</v>
      </c>
      <c r="D91" s="2" t="s">
        <v>61</v>
      </c>
    </row>
  </sheetData>
  <pageMargins left="0.25" right="0.25" top="0.75" bottom="0.75" header="0.3" footer="0.3"/>
  <pageSetup paperSize="8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3</vt:i4>
      </vt:variant>
    </vt:vector>
  </HeadingPairs>
  <TitlesOfParts>
    <vt:vector size="3" baseType="lpstr">
      <vt:lpstr>Acciaio</vt:lpstr>
      <vt:lpstr>Lega Al</vt:lpstr>
      <vt:lpstr>Verifica 4CM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i911900</dc:creator>
  <cp:lastModifiedBy>i911900</cp:lastModifiedBy>
  <cp:lastPrinted>2022-02-08T12:07:02Z</cp:lastPrinted>
  <dcterms:created xsi:type="dcterms:W3CDTF">2022-02-08T11:27:59Z</dcterms:created>
  <dcterms:modified xsi:type="dcterms:W3CDTF">2022-03-21T17:16:12Z</dcterms:modified>
</cp:coreProperties>
</file>