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" sheetId="1" r:id="rId4"/>
    <sheet state="visible" name="diagramma" sheetId="2" r:id="rId5"/>
  </sheets>
  <definedNames/>
  <calcPr/>
</workbook>
</file>

<file path=xl/sharedStrings.xml><?xml version="1.0" encoding="utf-8"?>
<sst xmlns="http://schemas.openxmlformats.org/spreadsheetml/2006/main" count="304" uniqueCount="163">
  <si>
    <t>ESERCIZI ARIA UMIDA SI</t>
  </si>
  <si>
    <t>Trovare tutte le caratteristiche igrometriche dell'aria alla T 20°C con UR 50%</t>
  </si>
  <si>
    <t>Calcolare l'entalpia di 1 Kg di aria a 20°C  e  x=10 g/kg  (assumere h=0 a 0°C)</t>
  </si>
  <si>
    <t>T</t>
  </si>
  <si>
    <t>°C</t>
  </si>
  <si>
    <t>x</t>
  </si>
  <si>
    <t>Kgv/Kg a.s</t>
  </si>
  <si>
    <t>cp aria</t>
  </si>
  <si>
    <t>KJ/kg K</t>
  </si>
  <si>
    <t>calore specifico aria a p cost</t>
  </si>
  <si>
    <t>r latente</t>
  </si>
  <si>
    <t>KJ / Kg</t>
  </si>
  <si>
    <t>calore latente di vaporizzazione</t>
  </si>
  <si>
    <t>cp vap</t>
  </si>
  <si>
    <t>Kj / Kg k</t>
  </si>
  <si>
    <t>calore specifico del vapore p cost</t>
  </si>
  <si>
    <t>Qs</t>
  </si>
  <si>
    <t>KJ</t>
  </si>
  <si>
    <t>sensibile</t>
  </si>
  <si>
    <t>Ql</t>
  </si>
  <si>
    <t>Kj</t>
  </si>
  <si>
    <t>latente</t>
  </si>
  <si>
    <t>la quota (cp_vap *DT)</t>
  </si>
  <si>
    <t>è trascurabile</t>
  </si>
  <si>
    <t>Qtot</t>
  </si>
  <si>
    <t>Kcal</t>
  </si>
  <si>
    <t>Dal diagramma psicrometrico</t>
  </si>
  <si>
    <t>Serbatoio chiuso contiene 100 Kg aria secca e 1 Kg di vapore alla patm.</t>
  </si>
  <si>
    <t>La temperatura interna è di 25°C mentre all'esterno T=10°C</t>
  </si>
  <si>
    <t>Trovare tutte le caratteristiche dell'aria interna su diagramma psi.</t>
  </si>
  <si>
    <t>Cosa succede sulla parete esterna del serbatoio?</t>
  </si>
  <si>
    <t>Si trova umidita specifica x</t>
  </si>
  <si>
    <t>g/Kg as</t>
  </si>
  <si>
    <t>Nota T e x dal diagramma si ricavano le altre grandezze.</t>
  </si>
  <si>
    <t>Le pareti si trovano a una T&lt; Trugiada di 14° quindi si ha formazione di condensa.</t>
  </si>
  <si>
    <t>Trovare le condizioni di aria ottenuta miscelando le seguenti portate</t>
  </si>
  <si>
    <t>A</t>
  </si>
  <si>
    <t>4000 m3/h</t>
  </si>
  <si>
    <t>25 °C</t>
  </si>
  <si>
    <t>B</t>
  </si>
  <si>
    <t>2000 m3/h</t>
  </si>
  <si>
    <t>35°C</t>
  </si>
  <si>
    <t>20 °C</t>
  </si>
  <si>
    <t>5°C</t>
  </si>
  <si>
    <t>Una massa di 100 Kg as contenente 1Kg di vapore deve essere scaldata da 10 a 40°C a x costante.</t>
  </si>
  <si>
    <t>Trovare il calore necessario</t>
  </si>
  <si>
    <t>m aria</t>
  </si>
  <si>
    <t>Kg</t>
  </si>
  <si>
    <t>salto T</t>
  </si>
  <si>
    <t>m vap</t>
  </si>
  <si>
    <t>g</t>
  </si>
  <si>
    <t>Kj/kg k</t>
  </si>
  <si>
    <t>Sul diagramma si traccia retta passante per condizioni ambiente e si trova il Dh</t>
  </si>
  <si>
    <t>Una massa di 100 Kg as contenente 1Kg di vapore a 40°C riceve 9 g/Kg as di vapore a T costante.</t>
  </si>
  <si>
    <t>Trovare il calore assorbito dall'aria</t>
  </si>
  <si>
    <t>r vap</t>
  </si>
  <si>
    <t>Kj / Kg</t>
  </si>
  <si>
    <t>calore latente vaporizz.</t>
  </si>
  <si>
    <t>x iniziale</t>
  </si>
  <si>
    <r>
      <rPr>
        <rFont val="Symbol"/>
        <color rgb="FFFF0000"/>
        <sz val="11.0"/>
      </rPr>
      <t>D</t>
    </r>
    <r>
      <rPr>
        <rFont val="Calibri"/>
        <color rgb="FFFF0000"/>
        <sz val="11.0"/>
      </rPr>
      <t>x</t>
    </r>
  </si>
  <si>
    <t>x finale</t>
  </si>
  <si>
    <t>NB:  Dx in Kg / Kg as</t>
  </si>
  <si>
    <t>Sul diagramma si traccia retta verticale passante per condizioni iniziali e si trova punto finale</t>
  </si>
  <si>
    <t>Calcolare la potenza che una caldaia deve fornire a 3000 m3/h per portarla da A   B a x costante</t>
  </si>
  <si>
    <t>Valutare il costo termico giornaliero</t>
  </si>
  <si>
    <t>portata V</t>
  </si>
  <si>
    <t>m3/h</t>
  </si>
  <si>
    <t>UR</t>
  </si>
  <si>
    <t>densita</t>
  </si>
  <si>
    <t>Kh/m3</t>
  </si>
  <si>
    <t>m</t>
  </si>
  <si>
    <t>kg/h</t>
  </si>
  <si>
    <t>Kg/s</t>
  </si>
  <si>
    <t>Q</t>
  </si>
  <si>
    <t>Kw</t>
  </si>
  <si>
    <t>potenza della caldaia</t>
  </si>
  <si>
    <t>Energia term.</t>
  </si>
  <si>
    <t>Kwh</t>
  </si>
  <si>
    <t>Costo</t>
  </si>
  <si>
    <t>€</t>
  </si>
  <si>
    <t>costo costo termico 0,1 €/Kwh</t>
  </si>
  <si>
    <t>Sul diagramma psi si traccia retta orizzontale e si legge il Dh. La potenza sara  m x Dh</t>
  </si>
  <si>
    <t>Una batteria fredda ha una T in = 10°C e una Tout = 15°C. Trovare la T batteria</t>
  </si>
  <si>
    <t>Tin</t>
  </si>
  <si>
    <t>Tout</t>
  </si>
  <si>
    <t>Tbatt</t>
  </si>
  <si>
    <t>Una portata di 1000 m3/h di aria viene raffreddata da A a B. Trovare la potenza frigo e l'acqua condensata.</t>
  </si>
  <si>
    <t>Kg/m3</t>
  </si>
  <si>
    <t>Si traccia retta orizzontale su diagramma psi. Si trova il Dh dal diagramma</t>
  </si>
  <si>
    <r>
      <t>D</t>
    </r>
    <r>
      <rPr>
        <rFont val="Arial"/>
        <color theme="1"/>
        <sz val="11.0"/>
      </rPr>
      <t>h</t>
    </r>
  </si>
  <si>
    <t>Kg/h</t>
  </si>
  <si>
    <t>Potenza</t>
  </si>
  <si>
    <t>Il punto B ha una T&gt; T rugiada quindi non condensa acqua</t>
  </si>
  <si>
    <t>Una portata di 1000 m3/h di aria A viene raffreddata tramite una batteria fredda con BPF=0,04</t>
  </si>
  <si>
    <t>Trovare le condizioni dell'aria all'uscita della batteria fredda. La potenza frigo e l'acqua condensata.</t>
  </si>
  <si>
    <t>La portata di acqua fredda nella batteria</t>
  </si>
  <si>
    <t>Tin batt</t>
  </si>
  <si>
    <t>BPF</t>
  </si>
  <si>
    <t>Tout batt</t>
  </si>
  <si>
    <t>T batt</t>
  </si>
  <si>
    <t>portata bp</t>
  </si>
  <si>
    <t>portata raff</t>
  </si>
  <si>
    <t>Sul diagramma psicrometrico si traccia retta che passa per A e il punto B della batteria fredda</t>
  </si>
  <si>
    <t>individuato sulla curva di saturazione (UR 100%) allla Tbatteria</t>
  </si>
  <si>
    <t>Si trova il punto di miscelazione M sulla retta note le due portate in condizioni A e B</t>
  </si>
  <si>
    <t>Si trova la variazione di x fra A e M</t>
  </si>
  <si>
    <t>Si trova la variazione di h fra A e M</t>
  </si>
  <si>
    <t>L'acqua condensata sarà quindi</t>
  </si>
  <si>
    <t>La potenza frigorifera</t>
  </si>
  <si>
    <t>Portata acqua batteria</t>
  </si>
  <si>
    <t>Si vuole umidificare una portata di aria tramite un umidificatore ad acqua nebulizzata con eff 80%</t>
  </si>
  <si>
    <t>Trovare la portata di acqua da nebulizzare.</t>
  </si>
  <si>
    <t>efficienza</t>
  </si>
  <si>
    <t xml:space="preserve">La trasformazione è isoentapica. </t>
  </si>
  <si>
    <t>Si traccia la retta passante per A sul diagramma psi fino alla curva sat. In S</t>
  </si>
  <si>
    <t>Si trova il punto uscita aria B dall' umidificatore che si trova alla distanza pari a 80% di AS</t>
  </si>
  <si>
    <t>Dal diagramma si trova variazione umidità specifica tra A e B</t>
  </si>
  <si>
    <r>
      <rPr>
        <rFont val="Symbol"/>
        <color theme="1"/>
        <sz val="11.0"/>
      </rPr>
      <t>D</t>
    </r>
    <r>
      <rPr>
        <rFont val="Calibri"/>
        <color theme="1"/>
        <sz val="11.0"/>
      </rPr>
      <t>x</t>
    </r>
  </si>
  <si>
    <t>La portata di acqua assorbita dall'aria è quindi</t>
  </si>
  <si>
    <t>m H2O</t>
  </si>
  <si>
    <t>Si vuole umidificare con 13 Kg/h di vapore saturo a 100°C una portata di aria</t>
  </si>
  <si>
    <t>Trovare le condizioni aria all'uscita dell'umidificatore</t>
  </si>
  <si>
    <t>portata aria</t>
  </si>
  <si>
    <t>portata vap.</t>
  </si>
  <si>
    <t>Il vapore ha una entalpia</t>
  </si>
  <si>
    <t>KJ/kg</t>
  </si>
  <si>
    <t>KJ/g</t>
  </si>
  <si>
    <t xml:space="preserve">La massa di vapore fornisce all'aria con ISOTERMA una energia pari a </t>
  </si>
  <si>
    <t>Hv</t>
  </si>
  <si>
    <t>Kcal/h</t>
  </si>
  <si>
    <t>La portata di aria è</t>
  </si>
  <si>
    <t>Quindi l'aria riceve una energia dal vapore pari a</t>
  </si>
  <si>
    <r>
      <rPr>
        <rFont val="Symbol"/>
        <sz val="11.0"/>
      </rPr>
      <t>D</t>
    </r>
    <r>
      <rPr>
        <rFont val="Calibri"/>
        <sz val="11.0"/>
      </rPr>
      <t>h aria</t>
    </r>
  </si>
  <si>
    <t>KJ/ Kg</t>
  </si>
  <si>
    <t>Kcal / Kg</t>
  </si>
  <si>
    <t>Noto il delta h si traccia sul diagramma psicrometrico la retta isoterma passante per A fino ad arrivare al punto B</t>
  </si>
  <si>
    <t>25°C</t>
  </si>
  <si>
    <t>UR 67 %</t>
  </si>
  <si>
    <t>Oppure si ricava umidita specifica finale nota quella di A</t>
  </si>
  <si>
    <t xml:space="preserve">Ogni Kg di aria riceve una quantità di vapore </t>
  </si>
  <si>
    <t>g / Kg as</t>
  </si>
  <si>
    <t>x di B</t>
  </si>
  <si>
    <t>g/ Kg as</t>
  </si>
  <si>
    <t>Dal valore xB si traccia orizzontale su diagramma psi fino a trovare il punto B</t>
  </si>
  <si>
    <t>Si vuole umidificare con vapore saturo a 100°C una portata di aria fino a portarla alle condizioni B</t>
  </si>
  <si>
    <t>Trovare la porta di vapore da fornire all'umidificatore</t>
  </si>
  <si>
    <t>Sul diagramma psi si trovano i punti A e B e ricava la variazione x</t>
  </si>
  <si>
    <r>
      <rPr>
        <rFont val="Symbol"/>
        <sz val="11.0"/>
      </rPr>
      <t>D</t>
    </r>
    <r>
      <rPr>
        <rFont val="Calibri"/>
        <sz val="11.0"/>
      </rPr>
      <t>x aria</t>
    </r>
  </si>
  <si>
    <t>Calcolare il fattore di carico di un ambiente che ha</t>
  </si>
  <si>
    <t>NB: estate</t>
  </si>
  <si>
    <t>Fc</t>
  </si>
  <si>
    <t>NB: inverno</t>
  </si>
  <si>
    <t>Calcolare il fattore di carico di un ambiente in cui sonop presenti in media 25 persone</t>
  </si>
  <si>
    <t>Qs persona</t>
  </si>
  <si>
    <t>w</t>
  </si>
  <si>
    <t>(60 in estate)</t>
  </si>
  <si>
    <t>m vap persona</t>
  </si>
  <si>
    <t>g/h</t>
  </si>
  <si>
    <t>n persone</t>
  </si>
  <si>
    <t>Qs persone</t>
  </si>
  <si>
    <t>Ql persone</t>
  </si>
  <si>
    <t>Ql tot</t>
  </si>
  <si>
    <t>Calcolare il fattore di carico di un ambiente in cui sono presenti in media 25 persone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</si>
</sst>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"/>
  </numFmts>
  <fonts count="7">
    <font>
      <sz val="11.0"/>
      <color theme="1"/>
      <name val="Arial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Calibri"/>
    </font>
    <font>
      <color theme="1"/>
      <name val="Calibri"/>
    </font>
    <font/>
    <font>
      <sz val="11.0"/>
      <color theme="1"/>
      <name val="Noto Sans Symbols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2" xfId="0" applyFont="1" applyNumberFormat="1"/>
    <xf borderId="0" fillId="0" fontId="2" numFmtId="164" xfId="0" applyFont="1" applyNumberFormat="1"/>
    <xf borderId="0" fillId="0" fontId="2" numFmtId="1" xfId="0" applyFont="1" applyNumberFormat="1"/>
    <xf borderId="0" fillId="0" fontId="3" numFmtId="2" xfId="0" applyFont="1" applyNumberFormat="1"/>
    <xf borderId="0" fillId="0" fontId="4" numFmtId="0" xfId="0" applyFont="1"/>
    <xf borderId="0" fillId="0" fontId="2" numFmtId="9" xfId="0" applyFont="1" applyNumberFormat="1"/>
    <xf borderId="0" fillId="0" fontId="5" numFmtId="0" xfId="0" applyAlignment="1" applyFont="1">
      <alignment readingOrder="0"/>
    </xf>
    <xf borderId="0" fillId="0" fontId="6" numFmtId="0" xfId="0" applyFont="1"/>
    <xf borderId="0" fillId="0" fontId="3" numFmtId="165" xfId="0" applyFont="1" applyNumberFormat="1"/>
    <xf borderId="0" fillId="0" fontId="3" numFmtId="0" xfId="0" applyFont="1"/>
    <xf borderId="0" fillId="0" fontId="3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10020300" cy="6734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9.0"/>
    <col customWidth="1" min="3" max="3" width="7.63"/>
    <col customWidth="1" min="4" max="4" width="10.63"/>
    <col customWidth="1" min="5" max="5" width="7.63"/>
    <col customWidth="1" min="6" max="6" width="9.25"/>
    <col customWidth="1" min="7" max="7" width="4.38"/>
    <col customWidth="1" min="8" max="8" width="7.0"/>
    <col customWidth="1" min="9" max="26" width="7.63"/>
  </cols>
  <sheetData>
    <row r="1" ht="14.25" customHeight="1">
      <c r="A1" s="1" t="s">
        <v>0</v>
      </c>
    </row>
    <row r="2" ht="14.25" customHeight="1"/>
    <row r="3" ht="14.25" customHeight="1">
      <c r="A3" s="1" t="s">
        <v>1</v>
      </c>
    </row>
    <row r="4" ht="14.25" customHeight="1"/>
    <row r="5" ht="14.25" customHeight="1">
      <c r="A5" s="1" t="s">
        <v>2</v>
      </c>
    </row>
    <row r="6" ht="14.25" customHeight="1">
      <c r="A6" s="2" t="s">
        <v>3</v>
      </c>
      <c r="B6" s="3">
        <v>20.0</v>
      </c>
      <c r="C6" s="2" t="s">
        <v>4</v>
      </c>
      <c r="D6" s="2"/>
      <c r="E6" s="2"/>
      <c r="F6" s="2"/>
      <c r="G6" s="2"/>
    </row>
    <row r="7" ht="14.25" customHeight="1">
      <c r="A7" s="2" t="s">
        <v>5</v>
      </c>
      <c r="B7" s="3">
        <f>10/1000</f>
        <v>0.01</v>
      </c>
      <c r="C7" s="2" t="s">
        <v>6</v>
      </c>
      <c r="D7" s="2"/>
      <c r="E7" s="2"/>
      <c r="F7" s="2"/>
      <c r="G7" s="2"/>
    </row>
    <row r="8" ht="14.25" customHeight="1">
      <c r="A8" s="2" t="s">
        <v>7</v>
      </c>
      <c r="B8" s="4">
        <v>1.006</v>
      </c>
      <c r="C8" s="2" t="s">
        <v>8</v>
      </c>
      <c r="D8" s="2" t="s">
        <v>9</v>
      </c>
      <c r="E8" s="2"/>
      <c r="F8" s="2"/>
      <c r="G8" s="2"/>
    </row>
    <row r="9" ht="14.25" customHeight="1">
      <c r="A9" s="2" t="s">
        <v>10</v>
      </c>
      <c r="B9" s="5">
        <f>596 * 4.186</f>
        <v>2494.856</v>
      </c>
      <c r="C9" s="2" t="s">
        <v>11</v>
      </c>
      <c r="D9" s="2" t="s">
        <v>12</v>
      </c>
      <c r="E9" s="2"/>
      <c r="F9" s="2"/>
      <c r="G9" s="2"/>
    </row>
    <row r="10" ht="14.25" customHeight="1">
      <c r="A10" s="2" t="s">
        <v>13</v>
      </c>
      <c r="B10" s="3">
        <f>0.46*4.186</f>
        <v>1.92556</v>
      </c>
      <c r="C10" s="2" t="s">
        <v>14</v>
      </c>
      <c r="D10" s="2" t="s">
        <v>15</v>
      </c>
      <c r="E10" s="2"/>
      <c r="F10" s="2"/>
      <c r="G10" s="2"/>
    </row>
    <row r="11" ht="14.25" customHeight="1">
      <c r="B11" s="6"/>
    </row>
    <row r="12" ht="14.25" customHeight="1">
      <c r="A12" s="7" t="s">
        <v>16</v>
      </c>
      <c r="B12" s="6">
        <f>1*B8*20</f>
        <v>20.12</v>
      </c>
      <c r="C12" s="7" t="s">
        <v>17</v>
      </c>
      <c r="D12" s="7" t="s">
        <v>18</v>
      </c>
    </row>
    <row r="13" ht="14.25" customHeight="1">
      <c r="A13" s="7" t="s">
        <v>19</v>
      </c>
      <c r="B13" s="6">
        <f>$B$7*($B$9+$B$10*$B$6)</f>
        <v>25.333672</v>
      </c>
      <c r="C13" s="7" t="s">
        <v>20</v>
      </c>
      <c r="D13" s="7" t="s">
        <v>21</v>
      </c>
      <c r="E13" s="7" t="s">
        <v>22</v>
      </c>
      <c r="G13" s="6">
        <f>$B$7*($B$10*$B$6)</f>
        <v>0.385112</v>
      </c>
      <c r="H13" s="7" t="s">
        <v>23</v>
      </c>
    </row>
    <row r="14" ht="14.25" customHeight="1">
      <c r="A14" s="7" t="s">
        <v>24</v>
      </c>
      <c r="B14" s="6">
        <f>B12+B13</f>
        <v>45.453672</v>
      </c>
      <c r="C14" s="7" t="s">
        <v>20</v>
      </c>
      <c r="D14" s="6">
        <f>B14/4.186</f>
        <v>10.85849785</v>
      </c>
      <c r="E14" s="7" t="s">
        <v>25</v>
      </c>
    </row>
    <row r="15" ht="14.25" customHeight="1">
      <c r="A15" s="7" t="s">
        <v>26</v>
      </c>
      <c r="D15" s="6">
        <v>10.85</v>
      </c>
      <c r="E15" s="7" t="s">
        <v>25</v>
      </c>
    </row>
    <row r="16" ht="14.25" customHeight="1"/>
    <row r="17" ht="14.25" customHeight="1"/>
    <row r="18" ht="14.25" customHeight="1">
      <c r="A18" s="1" t="s">
        <v>27</v>
      </c>
    </row>
    <row r="19" ht="14.25" customHeight="1">
      <c r="A19" s="2" t="s">
        <v>28</v>
      </c>
      <c r="B19" s="2"/>
      <c r="C19" s="2"/>
      <c r="D19" s="2"/>
      <c r="E19" s="2"/>
    </row>
    <row r="20" ht="14.25" customHeight="1">
      <c r="A20" s="2" t="s">
        <v>29</v>
      </c>
      <c r="B20" s="2"/>
      <c r="C20" s="2"/>
      <c r="D20" s="2"/>
      <c r="E20" s="2"/>
    </row>
    <row r="21" ht="14.25" customHeight="1">
      <c r="A21" s="2" t="s">
        <v>30</v>
      </c>
      <c r="B21" s="2"/>
      <c r="C21" s="2"/>
      <c r="D21" s="2"/>
      <c r="E21" s="2"/>
    </row>
    <row r="22" ht="14.25" customHeight="1"/>
    <row r="23" ht="14.25" customHeight="1">
      <c r="A23" s="7" t="s">
        <v>31</v>
      </c>
      <c r="D23" s="7">
        <f>1*1000/100</f>
        <v>10</v>
      </c>
      <c r="E23" s="7" t="s">
        <v>32</v>
      </c>
    </row>
    <row r="24" ht="14.25" customHeight="1">
      <c r="A24" s="7" t="s">
        <v>33</v>
      </c>
    </row>
    <row r="25" ht="14.25" customHeight="1">
      <c r="A25" s="7" t="s">
        <v>34</v>
      </c>
    </row>
    <row r="26" ht="14.25" customHeight="1"/>
    <row r="27" ht="14.25" customHeight="1">
      <c r="A27" s="1" t="s">
        <v>35</v>
      </c>
    </row>
    <row r="28" ht="14.25" customHeight="1">
      <c r="A28" s="2" t="s">
        <v>36</v>
      </c>
      <c r="B28" s="2" t="s">
        <v>37</v>
      </c>
      <c r="C28" s="2" t="s">
        <v>38</v>
      </c>
      <c r="D28" s="8">
        <v>0.5</v>
      </c>
    </row>
    <row r="29" ht="14.25" customHeight="1">
      <c r="A29" s="2" t="s">
        <v>39</v>
      </c>
      <c r="B29" s="2" t="s">
        <v>40</v>
      </c>
      <c r="C29" s="2" t="s">
        <v>41</v>
      </c>
      <c r="D29" s="8">
        <v>0.7</v>
      </c>
    </row>
    <row r="30" ht="14.25" customHeight="1"/>
    <row r="31" ht="14.25" customHeight="1">
      <c r="A31" s="1" t="s">
        <v>35</v>
      </c>
    </row>
    <row r="32" ht="14.25" customHeight="1">
      <c r="A32" s="2" t="s">
        <v>36</v>
      </c>
      <c r="B32" s="2" t="s">
        <v>37</v>
      </c>
      <c r="C32" s="2" t="s">
        <v>42</v>
      </c>
      <c r="D32" s="8">
        <v>0.5</v>
      </c>
    </row>
    <row r="33" ht="14.25" customHeight="1">
      <c r="A33" s="2" t="s">
        <v>39</v>
      </c>
      <c r="B33" s="2" t="s">
        <v>40</v>
      </c>
      <c r="C33" s="2" t="s">
        <v>43</v>
      </c>
      <c r="D33" s="8">
        <v>0.7</v>
      </c>
    </row>
    <row r="34" ht="14.25" customHeight="1"/>
    <row r="35" ht="14.25" customHeight="1"/>
    <row r="36" ht="14.25" customHeight="1">
      <c r="A36" s="1" t="s">
        <v>44</v>
      </c>
    </row>
    <row r="37" ht="14.25" customHeight="1">
      <c r="A37" s="1" t="s">
        <v>45</v>
      </c>
    </row>
    <row r="38" ht="14.25" customHeight="1">
      <c r="A38" s="2" t="s">
        <v>46</v>
      </c>
      <c r="B38" s="2">
        <v>100.0</v>
      </c>
      <c r="C38" s="2" t="s">
        <v>47</v>
      </c>
      <c r="D38" s="2" t="s">
        <v>48</v>
      </c>
      <c r="E38" s="2">
        <v>30.0</v>
      </c>
      <c r="F38" s="2" t="s">
        <v>4</v>
      </c>
    </row>
    <row r="39" ht="14.25" customHeight="1">
      <c r="A39" s="2" t="s">
        <v>49</v>
      </c>
      <c r="B39" s="2">
        <v>1000.0</v>
      </c>
      <c r="C39" s="2" t="s">
        <v>50</v>
      </c>
      <c r="D39" s="2"/>
      <c r="E39" s="2"/>
      <c r="F39" s="2"/>
    </row>
    <row r="40" ht="14.25" customHeight="1">
      <c r="A40" s="2" t="s">
        <v>7</v>
      </c>
      <c r="B40" s="2">
        <v>1.006</v>
      </c>
      <c r="C40" s="2" t="s">
        <v>51</v>
      </c>
      <c r="D40" s="2"/>
      <c r="E40" s="2"/>
      <c r="F40" s="2"/>
    </row>
    <row r="41" ht="14.25" customHeight="1">
      <c r="A41" s="2" t="s">
        <v>5</v>
      </c>
      <c r="B41" s="2">
        <f>B39/B38</f>
        <v>10</v>
      </c>
      <c r="C41" s="2" t="s">
        <v>32</v>
      </c>
      <c r="D41" s="2"/>
      <c r="E41" s="2"/>
      <c r="F41" s="2"/>
    </row>
    <row r="42" ht="14.25" customHeight="1">
      <c r="A42" s="2" t="s">
        <v>16</v>
      </c>
      <c r="B42" s="2">
        <f>B38*B40*E38</f>
        <v>3018</v>
      </c>
      <c r="C42" s="2" t="s">
        <v>17</v>
      </c>
      <c r="D42" s="2"/>
      <c r="E42" s="2"/>
      <c r="F42" s="2"/>
    </row>
    <row r="43" ht="14.25" customHeight="1"/>
    <row r="44" ht="14.25" customHeight="1">
      <c r="A44" s="9" t="s">
        <v>52</v>
      </c>
    </row>
    <row r="45" ht="14.25" customHeight="1"/>
    <row r="46" ht="14.25" customHeight="1">
      <c r="A46" s="1" t="s">
        <v>53</v>
      </c>
    </row>
    <row r="47" ht="14.25" customHeight="1">
      <c r="A47" s="1" t="s">
        <v>54</v>
      </c>
    </row>
    <row r="48" ht="14.25" customHeight="1">
      <c r="A48" s="2" t="s">
        <v>46</v>
      </c>
      <c r="B48" s="2">
        <v>100.0</v>
      </c>
      <c r="C48" s="2" t="s">
        <v>47</v>
      </c>
      <c r="D48" s="2" t="s">
        <v>55</v>
      </c>
      <c r="E48" s="3">
        <f>2490</f>
        <v>2490</v>
      </c>
      <c r="F48" s="2" t="s">
        <v>56</v>
      </c>
    </row>
    <row r="49" ht="14.25" customHeight="1">
      <c r="A49" s="2" t="s">
        <v>49</v>
      </c>
      <c r="B49" s="2">
        <v>1000.0</v>
      </c>
      <c r="C49" s="2" t="s">
        <v>50</v>
      </c>
      <c r="D49" s="2"/>
      <c r="E49" s="2" t="s">
        <v>57</v>
      </c>
      <c r="F49" s="2"/>
    </row>
    <row r="50" ht="14.25" customHeight="1">
      <c r="A50" s="2" t="s">
        <v>7</v>
      </c>
      <c r="B50" s="2">
        <v>1.006</v>
      </c>
      <c r="C50" s="2" t="s">
        <v>51</v>
      </c>
      <c r="D50" s="2"/>
      <c r="E50" s="2"/>
      <c r="F50" s="2"/>
    </row>
    <row r="51" ht="14.25" customHeight="1">
      <c r="A51" s="2" t="s">
        <v>58</v>
      </c>
      <c r="B51" s="2">
        <f>B49/B48</f>
        <v>10</v>
      </c>
      <c r="C51" s="2" t="s">
        <v>32</v>
      </c>
      <c r="D51" s="2"/>
      <c r="E51" s="2"/>
      <c r="F51" s="2"/>
    </row>
    <row r="52" ht="14.25" customHeight="1">
      <c r="A52" s="2" t="s">
        <v>59</v>
      </c>
      <c r="B52" s="2">
        <v>9.0</v>
      </c>
      <c r="C52" s="2" t="s">
        <v>32</v>
      </c>
      <c r="D52" s="2"/>
      <c r="E52" s="2"/>
      <c r="F52" s="2"/>
    </row>
    <row r="53" ht="14.25" customHeight="1"/>
    <row r="54" ht="14.25" customHeight="1">
      <c r="A54" s="7" t="s">
        <v>60</v>
      </c>
      <c r="B54" s="7">
        <f>B51+B52</f>
        <v>19</v>
      </c>
      <c r="C54" s="7" t="s">
        <v>32</v>
      </c>
    </row>
    <row r="55" ht="14.25" customHeight="1">
      <c r="A55" s="7" t="s">
        <v>19</v>
      </c>
      <c r="B55" s="7">
        <f>B48*E48*B52/1000</f>
        <v>2241</v>
      </c>
      <c r="C55" s="7" t="s">
        <v>17</v>
      </c>
      <c r="D55" s="7" t="s">
        <v>61</v>
      </c>
    </row>
    <row r="56" ht="14.25" customHeight="1"/>
    <row r="57" ht="14.25" customHeight="1">
      <c r="A57" s="7" t="s">
        <v>62</v>
      </c>
    </row>
    <row r="58" ht="14.25" customHeight="1"/>
    <row r="59" ht="14.25" customHeight="1"/>
    <row r="60" ht="14.25" customHeight="1">
      <c r="A60" s="1" t="s">
        <v>63</v>
      </c>
    </row>
    <row r="61" ht="14.25" customHeight="1">
      <c r="A61" s="1" t="s">
        <v>64</v>
      </c>
    </row>
    <row r="62" ht="14.25" customHeight="1">
      <c r="A62" s="2" t="s">
        <v>65</v>
      </c>
      <c r="B62" s="2">
        <v>3000.0</v>
      </c>
      <c r="C62" s="2" t="s">
        <v>66</v>
      </c>
      <c r="D62" s="2"/>
      <c r="E62" s="2"/>
    </row>
    <row r="63" ht="14.25" customHeight="1">
      <c r="A63" s="2" t="s">
        <v>36</v>
      </c>
      <c r="B63" s="2" t="s">
        <v>3</v>
      </c>
      <c r="C63" s="2">
        <v>15.0</v>
      </c>
      <c r="D63" s="2" t="s">
        <v>67</v>
      </c>
      <c r="E63" s="2">
        <v>90.0</v>
      </c>
    </row>
    <row r="64" ht="14.25" customHeight="1">
      <c r="A64" s="2" t="s">
        <v>39</v>
      </c>
      <c r="B64" s="2" t="s">
        <v>3</v>
      </c>
      <c r="C64" s="2">
        <v>40.0</v>
      </c>
      <c r="D64" s="2" t="s">
        <v>67</v>
      </c>
      <c r="E64" s="2">
        <v>22.0</v>
      </c>
    </row>
    <row r="65" ht="14.25" customHeight="1">
      <c r="A65" s="2" t="s">
        <v>7</v>
      </c>
      <c r="B65" s="2">
        <v>1.006</v>
      </c>
      <c r="C65" s="2" t="s">
        <v>51</v>
      </c>
      <c r="D65" s="2"/>
      <c r="E65" s="2"/>
    </row>
    <row r="66" ht="14.25" customHeight="1">
      <c r="A66" s="2" t="s">
        <v>68</v>
      </c>
      <c r="B66" s="2">
        <v>1.2</v>
      </c>
      <c r="C66" s="2" t="s">
        <v>69</v>
      </c>
      <c r="D66" s="2"/>
      <c r="E66" s="2"/>
    </row>
    <row r="67" ht="14.25" customHeight="1"/>
    <row r="68" ht="14.25" customHeight="1">
      <c r="A68" s="7" t="s">
        <v>70</v>
      </c>
      <c r="B68" s="7">
        <f>B62*B66</f>
        <v>3600</v>
      </c>
      <c r="C68" s="7" t="s">
        <v>71</v>
      </c>
      <c r="D68" s="7">
        <f>B68/3600</f>
        <v>1</v>
      </c>
      <c r="E68" s="7" t="s">
        <v>72</v>
      </c>
    </row>
    <row r="69" ht="14.25" customHeight="1">
      <c r="A69" s="7" t="s">
        <v>73</v>
      </c>
      <c r="B69" s="7">
        <f>D68*B65*(C64-C63)</f>
        <v>25.15</v>
      </c>
      <c r="C69" s="7" t="s">
        <v>74</v>
      </c>
      <c r="D69" s="7" t="s">
        <v>75</v>
      </c>
    </row>
    <row r="70" ht="14.25" customHeight="1">
      <c r="A70" s="9" t="s">
        <v>76</v>
      </c>
      <c r="B70" s="7">
        <f>B69*24</f>
        <v>603.6</v>
      </c>
      <c r="C70" s="7" t="s">
        <v>77</v>
      </c>
    </row>
    <row r="71" ht="14.25" customHeight="1">
      <c r="A71" s="7" t="s">
        <v>78</v>
      </c>
      <c r="B71" s="7">
        <f>B70*0.1</f>
        <v>60.36</v>
      </c>
      <c r="C71" s="7" t="s">
        <v>79</v>
      </c>
      <c r="D71" s="7" t="s">
        <v>80</v>
      </c>
    </row>
    <row r="72" ht="14.25" customHeight="1"/>
    <row r="73" ht="14.25" customHeight="1">
      <c r="A73" s="7" t="s">
        <v>81</v>
      </c>
    </row>
    <row r="74" ht="14.25" customHeight="1"/>
    <row r="75" ht="14.25" customHeight="1">
      <c r="A75" s="1" t="s">
        <v>82</v>
      </c>
    </row>
    <row r="76" ht="14.25" customHeight="1">
      <c r="A76" s="2" t="s">
        <v>83</v>
      </c>
      <c r="B76" s="2">
        <v>10.0</v>
      </c>
      <c r="C76" s="2" t="s">
        <v>4</v>
      </c>
    </row>
    <row r="77" ht="14.25" customHeight="1">
      <c r="A77" s="2" t="s">
        <v>84</v>
      </c>
      <c r="B77" s="2">
        <v>15.0</v>
      </c>
      <c r="C77" s="2" t="s">
        <v>4</v>
      </c>
    </row>
    <row r="78" ht="14.25" customHeight="1"/>
    <row r="79" ht="14.25" customHeight="1">
      <c r="A79" s="7" t="s">
        <v>85</v>
      </c>
      <c r="B79" s="7">
        <f>(B77+B76)/2+1</f>
        <v>13.5</v>
      </c>
      <c r="C79" s="7" t="s">
        <v>4</v>
      </c>
    </row>
    <row r="80" ht="14.25" customHeight="1"/>
    <row r="81" ht="14.25" customHeight="1">
      <c r="A81" s="1" t="s">
        <v>86</v>
      </c>
    </row>
    <row r="82" ht="14.25" customHeight="1">
      <c r="A82" s="2" t="s">
        <v>65</v>
      </c>
      <c r="B82" s="2">
        <v>1000.0</v>
      </c>
      <c r="C82" s="2" t="s">
        <v>66</v>
      </c>
      <c r="D82" s="2"/>
      <c r="E82" s="2"/>
    </row>
    <row r="83" ht="14.25" customHeight="1">
      <c r="A83" s="2" t="s">
        <v>36</v>
      </c>
      <c r="B83" s="2">
        <v>35.0</v>
      </c>
      <c r="C83" s="2" t="s">
        <v>4</v>
      </c>
      <c r="D83" s="2">
        <v>50.0</v>
      </c>
      <c r="E83" s="2" t="s">
        <v>67</v>
      </c>
    </row>
    <row r="84" ht="14.25" customHeight="1">
      <c r="A84" s="2" t="s">
        <v>39</v>
      </c>
      <c r="B84" s="2">
        <v>25.0</v>
      </c>
      <c r="C84" s="2" t="s">
        <v>4</v>
      </c>
      <c r="D84" s="2">
        <v>90.0</v>
      </c>
      <c r="E84" s="2" t="s">
        <v>67</v>
      </c>
    </row>
    <row r="85" ht="14.25" customHeight="1">
      <c r="A85" s="2" t="s">
        <v>68</v>
      </c>
      <c r="B85" s="2">
        <v>1.2</v>
      </c>
      <c r="C85" s="2" t="s">
        <v>87</v>
      </c>
      <c r="D85" s="2"/>
      <c r="E85" s="2"/>
    </row>
    <row r="86" ht="14.25" customHeight="1"/>
    <row r="87" ht="14.25" customHeight="1">
      <c r="A87" s="7" t="s">
        <v>88</v>
      </c>
    </row>
    <row r="88" ht="14.25" customHeight="1">
      <c r="A88" s="10" t="s">
        <v>89</v>
      </c>
      <c r="B88" s="11">
        <f>(19.5-16.9)*4.186</f>
        <v>10.8836</v>
      </c>
      <c r="C88" s="7" t="s">
        <v>20</v>
      </c>
    </row>
    <row r="89" ht="14.25" customHeight="1">
      <c r="A89" s="7" t="s">
        <v>70</v>
      </c>
      <c r="B89" s="11">
        <f>B82*B85</f>
        <v>1200</v>
      </c>
      <c r="C89" s="7" t="s">
        <v>90</v>
      </c>
      <c r="D89" s="7">
        <f>B89/3600</f>
        <v>0.3333333333</v>
      </c>
      <c r="E89" s="7" t="s">
        <v>72</v>
      </c>
    </row>
    <row r="90" ht="14.25" customHeight="1">
      <c r="A90" s="7" t="s">
        <v>91</v>
      </c>
      <c r="B90" s="6">
        <f>D89*B88</f>
        <v>3.627866667</v>
      </c>
      <c r="C90" s="7" t="s">
        <v>74</v>
      </c>
    </row>
    <row r="91" ht="14.25" customHeight="1"/>
    <row r="92" ht="14.25" customHeight="1">
      <c r="A92" s="7" t="s">
        <v>92</v>
      </c>
    </row>
    <row r="93" ht="14.25" customHeight="1"/>
    <row r="94" ht="14.25" customHeight="1"/>
    <row r="95" ht="14.25" customHeight="1">
      <c r="A95" s="1" t="s">
        <v>93</v>
      </c>
    </row>
    <row r="96" ht="14.25" customHeight="1">
      <c r="A96" s="1" t="s">
        <v>94</v>
      </c>
    </row>
    <row r="97" ht="14.25" customHeight="1">
      <c r="A97" s="1" t="s">
        <v>95</v>
      </c>
    </row>
    <row r="98" ht="14.25" customHeight="1">
      <c r="A98" s="2" t="s">
        <v>65</v>
      </c>
      <c r="B98" s="2">
        <v>1000.0</v>
      </c>
      <c r="C98" s="2" t="s">
        <v>66</v>
      </c>
      <c r="D98" s="2"/>
      <c r="E98" s="2"/>
      <c r="F98" s="2"/>
    </row>
    <row r="99" ht="14.25" customHeight="1">
      <c r="A99" s="2" t="s">
        <v>36</v>
      </c>
      <c r="B99" s="2">
        <v>35.0</v>
      </c>
      <c r="C99" s="2" t="s">
        <v>4</v>
      </c>
      <c r="D99" s="2">
        <v>50.0</v>
      </c>
      <c r="E99" s="2" t="s">
        <v>67</v>
      </c>
      <c r="F99" s="2"/>
    </row>
    <row r="100" ht="14.25" customHeight="1">
      <c r="A100" s="2" t="s">
        <v>96</v>
      </c>
      <c r="B100" s="2">
        <v>7.0</v>
      </c>
      <c r="C100" s="2" t="s">
        <v>4</v>
      </c>
      <c r="D100" s="2" t="s">
        <v>97</v>
      </c>
      <c r="E100" s="2">
        <v>0.04</v>
      </c>
      <c r="F100" s="8">
        <v>-0.04</v>
      </c>
    </row>
    <row r="101" ht="14.25" customHeight="1">
      <c r="A101" s="2" t="s">
        <v>98</v>
      </c>
      <c r="B101" s="2">
        <v>12.0</v>
      </c>
      <c r="C101" s="2" t="s">
        <v>4</v>
      </c>
      <c r="D101" s="2"/>
      <c r="E101" s="2"/>
      <c r="F101" s="2"/>
    </row>
    <row r="102" ht="14.25" customHeight="1"/>
    <row r="103" ht="14.25" customHeight="1">
      <c r="A103" s="7" t="s">
        <v>99</v>
      </c>
      <c r="B103" s="7">
        <f>(B100+B101)/2+1</f>
        <v>10.5</v>
      </c>
      <c r="C103" s="7" t="s">
        <v>4</v>
      </c>
    </row>
    <row r="104" ht="14.25" customHeight="1">
      <c r="A104" s="7" t="s">
        <v>100</v>
      </c>
      <c r="B104" s="7">
        <f>B98*E100</f>
        <v>40</v>
      </c>
      <c r="C104" s="7" t="s">
        <v>66</v>
      </c>
      <c r="D104" s="7">
        <f t="shared" ref="D104:D105" si="1">B104*1.2/3600</f>
        <v>0.01333333333</v>
      </c>
      <c r="E104" s="7" t="s">
        <v>72</v>
      </c>
    </row>
    <row r="105" ht="14.25" customHeight="1">
      <c r="A105" s="7" t="s">
        <v>101</v>
      </c>
      <c r="B105" s="7">
        <f>B98-B104</f>
        <v>960</v>
      </c>
      <c r="C105" s="7" t="s">
        <v>66</v>
      </c>
      <c r="D105" s="7">
        <f t="shared" si="1"/>
        <v>0.32</v>
      </c>
      <c r="E105" s="7" t="s">
        <v>72</v>
      </c>
    </row>
    <row r="106" ht="14.25" customHeight="1"/>
    <row r="107" ht="14.25" customHeight="1">
      <c r="A107" s="7" t="s">
        <v>102</v>
      </c>
    </row>
    <row r="108" ht="14.25" customHeight="1">
      <c r="A108" s="7" t="s">
        <v>103</v>
      </c>
    </row>
    <row r="109" ht="14.25" customHeight="1">
      <c r="A109" s="7" t="s">
        <v>104</v>
      </c>
    </row>
    <row r="110" ht="14.25" customHeight="1"/>
    <row r="111" ht="14.25" customHeight="1">
      <c r="A111" s="7" t="s">
        <v>105</v>
      </c>
      <c r="D111" s="7">
        <f>10</f>
        <v>10</v>
      </c>
      <c r="E111" s="7" t="s">
        <v>32</v>
      </c>
    </row>
    <row r="112" ht="14.25" customHeight="1">
      <c r="A112" s="7" t="s">
        <v>106</v>
      </c>
      <c r="D112" s="11">
        <f>(19.5-7.8)*4.186</f>
        <v>48.9762</v>
      </c>
      <c r="E112" s="7" t="s">
        <v>20</v>
      </c>
    </row>
    <row r="113" ht="14.25" customHeight="1"/>
    <row r="114" ht="14.25" customHeight="1">
      <c r="A114" s="7" t="s">
        <v>107</v>
      </c>
      <c r="D114" s="7">
        <f>1.2*B105*D111/1000</f>
        <v>11.52</v>
      </c>
      <c r="E114" s="7" t="s">
        <v>71</v>
      </c>
      <c r="F114" s="7">
        <f>D105*D111/1000*3600</f>
        <v>11.52</v>
      </c>
      <c r="G114" s="7" t="s">
        <v>71</v>
      </c>
    </row>
    <row r="115" ht="14.25" customHeight="1">
      <c r="A115" s="7" t="s">
        <v>108</v>
      </c>
      <c r="D115" s="6">
        <f>D105*D112</f>
        <v>15.672384</v>
      </c>
      <c r="E115" s="7" t="s">
        <v>74</v>
      </c>
    </row>
    <row r="116" ht="14.25" customHeight="1"/>
    <row r="117" ht="14.25" customHeight="1">
      <c r="A117" s="7" t="s">
        <v>109</v>
      </c>
      <c r="C117" s="6">
        <f>D115/4.186/(B101-B100)</f>
        <v>0.7488</v>
      </c>
      <c r="D117" s="7" t="s">
        <v>72</v>
      </c>
    </row>
    <row r="118" ht="14.25" customHeight="1"/>
    <row r="119" ht="14.25" customHeight="1"/>
    <row r="120" ht="14.25" customHeight="1">
      <c r="A120" s="1" t="s">
        <v>110</v>
      </c>
    </row>
    <row r="121" ht="14.25" customHeight="1">
      <c r="A121" s="1" t="s">
        <v>111</v>
      </c>
    </row>
    <row r="122" ht="14.25" customHeight="1">
      <c r="A122" s="2" t="s">
        <v>65</v>
      </c>
      <c r="B122" s="2">
        <v>1000.0</v>
      </c>
      <c r="C122" s="2" t="s">
        <v>66</v>
      </c>
    </row>
    <row r="123" ht="14.25" customHeight="1">
      <c r="A123" s="2" t="s">
        <v>36</v>
      </c>
      <c r="B123" s="2">
        <v>20.0</v>
      </c>
      <c r="C123" s="2" t="s">
        <v>4</v>
      </c>
      <c r="D123" s="2">
        <v>40.0</v>
      </c>
      <c r="E123" s="2" t="s">
        <v>67</v>
      </c>
    </row>
    <row r="124" ht="14.25" customHeight="1">
      <c r="A124" s="2" t="s">
        <v>112</v>
      </c>
      <c r="B124" s="2">
        <v>0.08</v>
      </c>
    </row>
    <row r="125" ht="14.25" customHeight="1"/>
    <row r="126" ht="14.25" customHeight="1">
      <c r="A126" s="12" t="s">
        <v>113</v>
      </c>
    </row>
    <row r="127" ht="14.25" customHeight="1">
      <c r="A127" s="7" t="s">
        <v>114</v>
      </c>
    </row>
    <row r="128" ht="14.25" customHeight="1">
      <c r="A128" s="7" t="s">
        <v>115</v>
      </c>
    </row>
    <row r="129" ht="14.25" customHeight="1">
      <c r="A129" s="7" t="s">
        <v>116</v>
      </c>
    </row>
    <row r="130" ht="14.25" customHeight="1">
      <c r="A130" s="7" t="s">
        <v>117</v>
      </c>
      <c r="B130" s="7">
        <v>2.5</v>
      </c>
      <c r="C130" s="7" t="s">
        <v>32</v>
      </c>
    </row>
    <row r="131" ht="14.25" customHeight="1">
      <c r="A131" s="7" t="s">
        <v>46</v>
      </c>
      <c r="B131" s="6">
        <f>B122*1.2/3600</f>
        <v>0.3333333333</v>
      </c>
      <c r="C131" s="7" t="s">
        <v>72</v>
      </c>
    </row>
    <row r="132" ht="14.25" customHeight="1">
      <c r="A132" s="7" t="s">
        <v>118</v>
      </c>
    </row>
    <row r="133" ht="14.25" customHeight="1">
      <c r="A133" s="7" t="s">
        <v>119</v>
      </c>
      <c r="B133" s="7">
        <f>B131*B130/1000</f>
        <v>0.0008333333333</v>
      </c>
      <c r="C133" s="7" t="s">
        <v>72</v>
      </c>
      <c r="D133" s="7">
        <f>B133*3600</f>
        <v>3</v>
      </c>
      <c r="E133" s="7" t="s">
        <v>90</v>
      </c>
    </row>
    <row r="134" ht="14.25" customHeight="1"/>
    <row r="135" ht="14.25" customHeight="1"/>
    <row r="136" ht="14.25" customHeight="1">
      <c r="A136" s="1" t="s">
        <v>120</v>
      </c>
    </row>
    <row r="137" ht="14.25" customHeight="1">
      <c r="A137" s="1" t="s">
        <v>121</v>
      </c>
    </row>
    <row r="138" ht="14.25" customHeight="1">
      <c r="A138" s="2" t="s">
        <v>122</v>
      </c>
      <c r="B138" s="2">
        <v>2000.0</v>
      </c>
      <c r="C138" s="2" t="s">
        <v>66</v>
      </c>
      <c r="D138" s="2"/>
      <c r="E138" s="2"/>
    </row>
    <row r="139" ht="14.25" customHeight="1">
      <c r="A139" s="2" t="s">
        <v>36</v>
      </c>
      <c r="B139" s="2">
        <v>25.0</v>
      </c>
      <c r="C139" s="2" t="s">
        <v>4</v>
      </c>
      <c r="D139" s="2">
        <v>30.0</v>
      </c>
      <c r="E139" s="2" t="s">
        <v>67</v>
      </c>
    </row>
    <row r="140" ht="14.25" customHeight="1">
      <c r="A140" s="2" t="s">
        <v>123</v>
      </c>
      <c r="B140" s="2">
        <v>13.0</v>
      </c>
      <c r="C140" s="2" t="s">
        <v>90</v>
      </c>
      <c r="D140" s="2"/>
      <c r="E140" s="2"/>
    </row>
    <row r="141" ht="14.25" customHeight="1"/>
    <row r="142" ht="14.25" customHeight="1">
      <c r="A142" s="12" t="s">
        <v>124</v>
      </c>
      <c r="B142" s="12"/>
      <c r="C142" s="12">
        <f>2495+ 1.93*100</f>
        <v>2688</v>
      </c>
      <c r="D142" s="12" t="s">
        <v>125</v>
      </c>
      <c r="E142" s="6">
        <f>C142/1000</f>
        <v>2.688</v>
      </c>
      <c r="F142" s="12" t="s">
        <v>126</v>
      </c>
      <c r="G142" s="12"/>
    </row>
    <row r="143" ht="14.25" customHeight="1">
      <c r="A143" s="12" t="s">
        <v>127</v>
      </c>
      <c r="B143" s="12"/>
      <c r="C143" s="12"/>
      <c r="D143" s="12"/>
      <c r="E143" s="12"/>
      <c r="F143" s="12"/>
      <c r="G143" s="12"/>
    </row>
    <row r="144" ht="14.25" customHeight="1">
      <c r="A144" s="7" t="s">
        <v>49</v>
      </c>
      <c r="B144" s="7">
        <f>B140/3600</f>
        <v>0.003611111111</v>
      </c>
      <c r="C144" s="7" t="s">
        <v>72</v>
      </c>
      <c r="D144" s="12"/>
      <c r="E144" s="12"/>
      <c r="F144" s="12"/>
      <c r="G144" s="12"/>
    </row>
    <row r="145" ht="14.25" customHeight="1">
      <c r="A145" s="12" t="s">
        <v>128</v>
      </c>
      <c r="B145" s="6">
        <f>B144*C142</f>
        <v>9.706666667</v>
      </c>
      <c r="C145" s="12" t="s">
        <v>74</v>
      </c>
      <c r="D145" s="13">
        <f>B145/0.001163</f>
        <v>8346.231012</v>
      </c>
      <c r="E145" s="12" t="s">
        <v>129</v>
      </c>
      <c r="F145" s="12"/>
      <c r="G145" s="12"/>
    </row>
    <row r="146" ht="14.25" customHeight="1">
      <c r="A146" s="12"/>
      <c r="B146" s="12"/>
      <c r="C146" s="12"/>
      <c r="D146" s="12"/>
      <c r="E146" s="12"/>
      <c r="F146" s="12"/>
      <c r="G146" s="12"/>
    </row>
    <row r="147" ht="14.25" customHeight="1">
      <c r="A147" s="12" t="s">
        <v>130</v>
      </c>
      <c r="B147" s="12"/>
      <c r="C147" s="12"/>
      <c r="D147" s="12"/>
      <c r="E147" s="12"/>
      <c r="F147" s="12"/>
      <c r="G147" s="12"/>
    </row>
    <row r="148" ht="14.25" customHeight="1">
      <c r="A148" s="12" t="s">
        <v>46</v>
      </c>
      <c r="B148" s="6">
        <f>1.2*B138/3600</f>
        <v>0.6666666667</v>
      </c>
      <c r="C148" s="12" t="s">
        <v>72</v>
      </c>
      <c r="D148" s="12"/>
      <c r="E148" s="12"/>
      <c r="F148" s="12"/>
      <c r="G148" s="12"/>
    </row>
    <row r="149" ht="14.25" customHeight="1">
      <c r="A149" s="12" t="s">
        <v>131</v>
      </c>
      <c r="B149" s="12"/>
      <c r="C149" s="12"/>
      <c r="D149" s="12"/>
      <c r="E149" s="12"/>
      <c r="F149" s="12"/>
      <c r="G149" s="12"/>
    </row>
    <row r="150" ht="14.25" customHeight="1">
      <c r="A150" s="12" t="s">
        <v>132</v>
      </c>
      <c r="B150" s="12">
        <f>B145/B148</f>
        <v>14.56</v>
      </c>
      <c r="C150" s="12" t="s">
        <v>133</v>
      </c>
      <c r="D150" s="6">
        <f>B150/4.186</f>
        <v>3.47826087</v>
      </c>
      <c r="E150" s="12" t="s">
        <v>134</v>
      </c>
      <c r="F150" s="12"/>
      <c r="G150" s="12"/>
    </row>
    <row r="151" ht="14.25" customHeight="1">
      <c r="A151" s="12" t="s">
        <v>135</v>
      </c>
    </row>
    <row r="152" ht="14.25" customHeight="1">
      <c r="A152" s="12" t="s">
        <v>39</v>
      </c>
      <c r="B152" s="7" t="s">
        <v>136</v>
      </c>
      <c r="C152" s="7" t="s">
        <v>137</v>
      </c>
    </row>
    <row r="153" ht="14.25" customHeight="1"/>
    <row r="154" ht="14.25" customHeight="1">
      <c r="A154" s="12" t="s">
        <v>138</v>
      </c>
      <c r="F154" s="7">
        <f>6</f>
        <v>6</v>
      </c>
      <c r="G154" s="7" t="s">
        <v>32</v>
      </c>
    </row>
    <row r="155" ht="14.25" customHeight="1">
      <c r="A155" s="12" t="s">
        <v>139</v>
      </c>
      <c r="E155" s="6">
        <f>B140*1000/(1.2*B138)</f>
        <v>5.416666667</v>
      </c>
      <c r="F155" s="7" t="s">
        <v>140</v>
      </c>
    </row>
    <row r="156" ht="14.25" customHeight="1">
      <c r="A156" s="12" t="s">
        <v>141</v>
      </c>
      <c r="B156" s="6">
        <f>F154+E155</f>
        <v>11.41666667</v>
      </c>
      <c r="C156" s="7" t="s">
        <v>142</v>
      </c>
    </row>
    <row r="157" ht="14.25" customHeight="1">
      <c r="A157" s="12" t="s">
        <v>143</v>
      </c>
    </row>
    <row r="158" ht="14.25" customHeight="1"/>
    <row r="159" ht="14.25" customHeight="1"/>
    <row r="160" ht="14.25" customHeight="1">
      <c r="A160" s="1" t="s">
        <v>144</v>
      </c>
    </row>
    <row r="161" ht="14.25" customHeight="1">
      <c r="A161" s="1" t="s">
        <v>145</v>
      </c>
    </row>
    <row r="162" ht="14.25" customHeight="1">
      <c r="A162" s="2" t="s">
        <v>122</v>
      </c>
      <c r="B162" s="2">
        <v>2000.0</v>
      </c>
      <c r="C162" s="2" t="s">
        <v>66</v>
      </c>
      <c r="D162" s="2"/>
      <c r="E162" s="2"/>
    </row>
    <row r="163" ht="14.25" customHeight="1">
      <c r="A163" s="2" t="s">
        <v>36</v>
      </c>
      <c r="B163" s="2">
        <v>25.0</v>
      </c>
      <c r="C163" s="2" t="s">
        <v>4</v>
      </c>
      <c r="D163" s="2">
        <v>30.0</v>
      </c>
      <c r="E163" s="2" t="s">
        <v>67</v>
      </c>
    </row>
    <row r="164" ht="14.25" customHeight="1">
      <c r="A164" s="2" t="s">
        <v>39</v>
      </c>
      <c r="B164" s="2">
        <v>25.0</v>
      </c>
      <c r="C164" s="2" t="s">
        <v>4</v>
      </c>
      <c r="D164" s="2">
        <v>67.0</v>
      </c>
      <c r="E164" s="2" t="s">
        <v>67</v>
      </c>
    </row>
    <row r="165" ht="14.25" customHeight="1"/>
    <row r="166" ht="14.25" customHeight="1">
      <c r="A166" s="12" t="s">
        <v>146</v>
      </c>
    </row>
    <row r="167" ht="14.25" customHeight="1">
      <c r="A167" s="12" t="s">
        <v>147</v>
      </c>
      <c r="B167" s="12">
        <f>11.5-6</f>
        <v>5.5</v>
      </c>
      <c r="C167" s="12" t="s">
        <v>142</v>
      </c>
      <c r="D167" s="12"/>
    </row>
    <row r="168" ht="14.25" customHeight="1">
      <c r="A168" s="12" t="s">
        <v>46</v>
      </c>
      <c r="B168" s="12">
        <f>1.2*B162</f>
        <v>2400</v>
      </c>
      <c r="C168" s="12" t="s">
        <v>90</v>
      </c>
      <c r="D168" s="12"/>
    </row>
    <row r="169" ht="14.25" customHeight="1">
      <c r="A169" s="12"/>
      <c r="B169" s="12"/>
      <c r="C169" s="12"/>
      <c r="D169" s="12"/>
    </row>
    <row r="170" ht="14.25" customHeight="1">
      <c r="A170" s="12" t="s">
        <v>49</v>
      </c>
      <c r="B170" s="12">
        <f>B167/1000*B168</f>
        <v>13.2</v>
      </c>
      <c r="C170" s="12" t="s">
        <v>90</v>
      </c>
      <c r="D170" s="12"/>
    </row>
    <row r="171" ht="14.25" customHeight="1">
      <c r="A171" s="12"/>
      <c r="B171" s="12"/>
      <c r="C171" s="12"/>
      <c r="D171" s="12"/>
    </row>
    <row r="172" ht="14.25" customHeight="1"/>
    <row r="173" ht="14.25" customHeight="1">
      <c r="A173" s="1" t="s">
        <v>148</v>
      </c>
    </row>
    <row r="174" ht="14.25" customHeight="1">
      <c r="A174" s="2" t="s">
        <v>16</v>
      </c>
      <c r="B174" s="2">
        <v>10.0</v>
      </c>
      <c r="C174" s="2" t="s">
        <v>74</v>
      </c>
      <c r="D174" s="7" t="s">
        <v>149</v>
      </c>
    </row>
    <row r="175" ht="14.25" customHeight="1">
      <c r="A175" s="2" t="s">
        <v>19</v>
      </c>
      <c r="B175" s="2">
        <v>2.0</v>
      </c>
      <c r="C175" s="2" t="s">
        <v>74</v>
      </c>
    </row>
    <row r="176" ht="14.25" customHeight="1"/>
    <row r="177" ht="14.25" customHeight="1">
      <c r="A177" s="7" t="s">
        <v>150</v>
      </c>
      <c r="B177" s="7">
        <f>B174/(B174+B175)</f>
        <v>0.8333333333</v>
      </c>
    </row>
    <row r="178" ht="14.25" customHeight="1"/>
    <row r="179" ht="14.25" customHeight="1"/>
    <row r="180" ht="14.25" customHeight="1">
      <c r="A180" s="1" t="s">
        <v>148</v>
      </c>
    </row>
    <row r="181" ht="14.25" customHeight="1">
      <c r="A181" s="2" t="s">
        <v>16</v>
      </c>
      <c r="B181" s="2">
        <v>-10.0</v>
      </c>
      <c r="C181" s="2" t="s">
        <v>74</v>
      </c>
      <c r="D181" s="7" t="s">
        <v>151</v>
      </c>
    </row>
    <row r="182" ht="14.25" customHeight="1">
      <c r="A182" s="2" t="s">
        <v>19</v>
      </c>
      <c r="B182" s="2">
        <v>2.0</v>
      </c>
      <c r="C182" s="2" t="s">
        <v>74</v>
      </c>
    </row>
    <row r="183" ht="14.25" customHeight="1"/>
    <row r="184" ht="14.25" customHeight="1">
      <c r="A184" s="7" t="s">
        <v>150</v>
      </c>
      <c r="B184" s="7">
        <f>B181/(B181+B182)</f>
        <v>1.25</v>
      </c>
    </row>
    <row r="185" ht="14.25" customHeight="1"/>
    <row r="186" ht="14.25" customHeight="1">
      <c r="A186" s="1" t="s">
        <v>152</v>
      </c>
    </row>
    <row r="187" ht="14.25" customHeight="1">
      <c r="A187" s="2" t="s">
        <v>16</v>
      </c>
      <c r="B187" s="2">
        <v>-10.0</v>
      </c>
      <c r="C187" s="2" t="s">
        <v>74</v>
      </c>
      <c r="D187" s="7" t="s">
        <v>151</v>
      </c>
    </row>
    <row r="188" ht="14.25" customHeight="1">
      <c r="A188" s="2" t="s">
        <v>153</v>
      </c>
      <c r="B188" s="2">
        <v>80.0</v>
      </c>
      <c r="C188" s="2" t="s">
        <v>154</v>
      </c>
      <c r="D188" s="7" t="s">
        <v>155</v>
      </c>
    </row>
    <row r="189" ht="14.25" customHeight="1">
      <c r="A189" s="2" t="s">
        <v>156</v>
      </c>
      <c r="B189" s="2">
        <v>100.0</v>
      </c>
      <c r="C189" s="2" t="s">
        <v>157</v>
      </c>
      <c r="D189" s="7">
        <f>B189/1000/3600</f>
        <v>0.00002777777778</v>
      </c>
      <c r="E189" s="7" t="s">
        <v>72</v>
      </c>
    </row>
    <row r="190" ht="14.25" customHeight="1">
      <c r="A190" s="2" t="s">
        <v>158</v>
      </c>
      <c r="B190" s="2">
        <v>25.0</v>
      </c>
      <c r="C190" s="2"/>
    </row>
    <row r="191" ht="14.25" customHeight="1"/>
    <row r="192" ht="14.25" customHeight="1">
      <c r="A192" s="12" t="s">
        <v>159</v>
      </c>
      <c r="B192" s="12">
        <f>B188*B190/1000</f>
        <v>2</v>
      </c>
      <c r="C192" s="12" t="s">
        <v>74</v>
      </c>
    </row>
    <row r="193" ht="14.25" customHeight="1">
      <c r="A193" s="12" t="s">
        <v>124</v>
      </c>
      <c r="B193" s="12"/>
      <c r="C193" s="12">
        <f>2495+ 1.93*20</f>
        <v>2533.6</v>
      </c>
      <c r="D193" s="12" t="s">
        <v>125</v>
      </c>
      <c r="E193" s="6">
        <f>C193/1000</f>
        <v>2.5336</v>
      </c>
      <c r="F193" s="12" t="s">
        <v>126</v>
      </c>
    </row>
    <row r="194" ht="14.25" customHeight="1">
      <c r="A194" s="7" t="s">
        <v>160</v>
      </c>
      <c r="B194" s="6">
        <f>C193*D189*1000</f>
        <v>70.37777778</v>
      </c>
      <c r="C194" s="7" t="s">
        <v>154</v>
      </c>
    </row>
    <row r="195" ht="14.25" customHeight="1">
      <c r="A195" s="7" t="s">
        <v>161</v>
      </c>
      <c r="B195" s="6">
        <f>B194*B190/1000</f>
        <v>1.759444444</v>
      </c>
      <c r="C195" s="7" t="s">
        <v>74</v>
      </c>
    </row>
    <row r="196" ht="14.25" customHeight="1"/>
    <row r="197" ht="14.25" customHeight="1">
      <c r="A197" s="7" t="s">
        <v>150</v>
      </c>
      <c r="B197" s="6">
        <f>(B187+B192)/(B187+B192+B195)</f>
        <v>1.281937149</v>
      </c>
    </row>
    <row r="198" ht="14.25" customHeight="1"/>
    <row r="199" ht="14.25" customHeight="1">
      <c r="A199" s="1" t="s">
        <v>162</v>
      </c>
    </row>
    <row r="200" ht="14.25" customHeight="1">
      <c r="A200" s="2" t="s">
        <v>16</v>
      </c>
      <c r="B200" s="2">
        <v>10.0</v>
      </c>
      <c r="C200" s="2" t="s">
        <v>74</v>
      </c>
      <c r="D200" s="7" t="s">
        <v>149</v>
      </c>
    </row>
    <row r="201" ht="14.25" customHeight="1">
      <c r="A201" s="2" t="s">
        <v>153</v>
      </c>
      <c r="B201" s="2">
        <v>80.0</v>
      </c>
      <c r="C201" s="2" t="s">
        <v>154</v>
      </c>
      <c r="D201" s="7" t="s">
        <v>155</v>
      </c>
    </row>
    <row r="202" ht="14.25" customHeight="1">
      <c r="A202" s="2" t="s">
        <v>156</v>
      </c>
      <c r="B202" s="2">
        <v>100.0</v>
      </c>
      <c r="C202" s="2" t="s">
        <v>157</v>
      </c>
      <c r="D202" s="7">
        <f>B202/1000/3600</f>
        <v>0.00002777777778</v>
      </c>
      <c r="E202" s="7" t="s">
        <v>72</v>
      </c>
    </row>
    <row r="203" ht="14.25" customHeight="1">
      <c r="A203" s="2" t="s">
        <v>158</v>
      </c>
      <c r="B203" s="2">
        <v>25.0</v>
      </c>
      <c r="C203" s="2"/>
    </row>
    <row r="204" ht="14.25" customHeight="1"/>
    <row r="205" ht="14.25" customHeight="1">
      <c r="A205" s="12" t="s">
        <v>159</v>
      </c>
      <c r="B205" s="12">
        <f>B201*B203/1000</f>
        <v>2</v>
      </c>
      <c r="C205" s="12" t="s">
        <v>74</v>
      </c>
    </row>
    <row r="206" ht="14.25" customHeight="1">
      <c r="A206" s="12" t="s">
        <v>124</v>
      </c>
      <c r="B206" s="12"/>
      <c r="C206" s="12">
        <f>2495+ 1.93*20</f>
        <v>2533.6</v>
      </c>
      <c r="D206" s="12" t="s">
        <v>125</v>
      </c>
      <c r="E206" s="6">
        <f>C206/1000</f>
        <v>2.5336</v>
      </c>
      <c r="F206" s="12" t="s">
        <v>126</v>
      </c>
    </row>
    <row r="207" ht="14.25" customHeight="1">
      <c r="A207" s="7" t="s">
        <v>160</v>
      </c>
      <c r="B207" s="6">
        <f>C206*D202*1000</f>
        <v>70.37777778</v>
      </c>
      <c r="C207" s="7" t="s">
        <v>154</v>
      </c>
    </row>
    <row r="208" ht="14.25" customHeight="1">
      <c r="A208" s="7" t="s">
        <v>161</v>
      </c>
      <c r="B208" s="6">
        <f>B207*B203/1000</f>
        <v>1.759444444</v>
      </c>
      <c r="C208" s="7" t="s">
        <v>74</v>
      </c>
    </row>
    <row r="209" ht="14.25" customHeight="1"/>
    <row r="210" ht="14.25" customHeight="1">
      <c r="A210" s="7" t="s">
        <v>150</v>
      </c>
      <c r="B210" s="6">
        <f>(B200+B205)/(B200+B205+B208)</f>
        <v>0.8721282352</v>
      </c>
    </row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