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96" windowWidth="22932" windowHeight="10032"/>
  </bookViews>
  <sheets>
    <sheet name="Foglio1 (2)" sheetId="4" r:id="rId1"/>
    <sheet name="Foglio1" sheetId="1" r:id="rId2"/>
    <sheet name="Foglio2" sheetId="2" r:id="rId3"/>
    <sheet name="Foglio3" sheetId="3" r:id="rId4"/>
  </sheets>
  <calcPr calcId="125725"/>
</workbook>
</file>

<file path=xl/calcChain.xml><?xml version="1.0" encoding="utf-8"?>
<calcChain xmlns="http://schemas.openxmlformats.org/spreadsheetml/2006/main">
  <c r="Q44" i="4"/>
  <c r="O44"/>
  <c r="M44"/>
  <c r="J44"/>
  <c r="H44"/>
  <c r="F44"/>
  <c r="D44"/>
  <c r="B44"/>
  <c r="Q29"/>
  <c r="Q30" s="1"/>
  <c r="O29"/>
  <c r="O30" s="1"/>
  <c r="M29"/>
  <c r="M30" s="1"/>
  <c r="J29"/>
  <c r="J30" s="1"/>
  <c r="H29"/>
  <c r="H30" s="1"/>
  <c r="F29"/>
  <c r="F30" s="1"/>
  <c r="D29"/>
  <c r="D30" s="1"/>
  <c r="B30"/>
  <c r="B29"/>
  <c r="Q40"/>
  <c r="Q41" s="1"/>
  <c r="O40"/>
  <c r="O41" s="1"/>
  <c r="M40"/>
  <c r="M41" s="1"/>
  <c r="J40"/>
  <c r="J41" s="1"/>
  <c r="H40"/>
  <c r="H41" s="1"/>
  <c r="F40"/>
  <c r="F41" s="1"/>
  <c r="D40"/>
  <c r="D41" s="1"/>
  <c r="B41"/>
  <c r="B40"/>
  <c r="Q35"/>
  <c r="Q36" s="1"/>
  <c r="Q37" s="1"/>
  <c r="Q24"/>
  <c r="Q23"/>
  <c r="Q25" s="1"/>
  <c r="Q17"/>
  <c r="Q15"/>
  <c r="Q46" s="1"/>
  <c r="Q14"/>
  <c r="Q9"/>
  <c r="Q10" s="1"/>
  <c r="Q5"/>
  <c r="Q26" s="1"/>
  <c r="Q27" s="1"/>
  <c r="Q45" s="1"/>
  <c r="O36"/>
  <c r="O37" s="1"/>
  <c r="O35"/>
  <c r="O23"/>
  <c r="O24" s="1"/>
  <c r="O17"/>
  <c r="O15"/>
  <c r="O46" s="1"/>
  <c r="O14"/>
  <c r="O10"/>
  <c r="O9"/>
  <c r="O5"/>
  <c r="M35"/>
  <c r="M36" s="1"/>
  <c r="M37" s="1"/>
  <c r="M23"/>
  <c r="M24" s="1"/>
  <c r="M17"/>
  <c r="M15"/>
  <c r="M46" s="1"/>
  <c r="M14"/>
  <c r="M10"/>
  <c r="M9"/>
  <c r="M5"/>
  <c r="B23"/>
  <c r="B24" s="1"/>
  <c r="J5"/>
  <c r="H5"/>
  <c r="F5"/>
  <c r="D5"/>
  <c r="B5"/>
  <c r="J35"/>
  <c r="J36" s="1"/>
  <c r="J37" s="1"/>
  <c r="J23"/>
  <c r="J24" s="1"/>
  <c r="J17"/>
  <c r="J15"/>
  <c r="J46" s="1"/>
  <c r="J14"/>
  <c r="J9"/>
  <c r="J10" s="1"/>
  <c r="H35"/>
  <c r="H36" s="1"/>
  <c r="H37" s="1"/>
  <c r="H23"/>
  <c r="H24" s="1"/>
  <c r="H17"/>
  <c r="H15"/>
  <c r="H46" s="1"/>
  <c r="H14"/>
  <c r="H9"/>
  <c r="H10" s="1"/>
  <c r="F35"/>
  <c r="F36" s="1"/>
  <c r="F37" s="1"/>
  <c r="F23"/>
  <c r="F24" s="1"/>
  <c r="F17"/>
  <c r="F15"/>
  <c r="F46" s="1"/>
  <c r="F14"/>
  <c r="F9"/>
  <c r="F10" s="1"/>
  <c r="D35"/>
  <c r="D36" s="1"/>
  <c r="D37" s="1"/>
  <c r="D23"/>
  <c r="D17"/>
  <c r="D15"/>
  <c r="D46" s="1"/>
  <c r="D14"/>
  <c r="D9"/>
  <c r="D10" s="1"/>
  <c r="B17"/>
  <c r="B35"/>
  <c r="B36" s="1"/>
  <c r="B37" s="1"/>
  <c r="B15"/>
  <c r="B14"/>
  <c r="B9"/>
  <c r="B10" s="1"/>
  <c r="E36" i="1"/>
  <c r="B9"/>
  <c r="B30"/>
  <c r="B31" s="1"/>
  <c r="B23"/>
  <c r="B22"/>
  <c r="B21"/>
  <c r="B20"/>
  <c r="G20" s="1"/>
  <c r="E37"/>
  <c r="B38"/>
  <c r="B26"/>
  <c r="D26" s="1"/>
  <c r="O50" i="4" l="1"/>
  <c r="O51" s="1"/>
  <c r="Q47"/>
  <c r="Q50"/>
  <c r="O25"/>
  <c r="O26" s="1"/>
  <c r="O27" s="1"/>
  <c r="O45" s="1"/>
  <c r="O47" s="1"/>
  <c r="M58"/>
  <c r="M52"/>
  <c r="M53" s="1"/>
  <c r="M50"/>
  <c r="M26"/>
  <c r="M27" s="1"/>
  <c r="M45" s="1"/>
  <c r="M47" s="1"/>
  <c r="M25"/>
  <c r="F50"/>
  <c r="F51" s="1"/>
  <c r="D50"/>
  <c r="D51" s="1"/>
  <c r="J25"/>
  <c r="J26" s="1"/>
  <c r="J27" s="1"/>
  <c r="J50"/>
  <c r="J58" s="1"/>
  <c r="H25"/>
  <c r="H26" s="1"/>
  <c r="H27" s="1"/>
  <c r="H50"/>
  <c r="H58" s="1"/>
  <c r="F25"/>
  <c r="F26" s="1"/>
  <c r="F27" s="1"/>
  <c r="D24"/>
  <c r="D25"/>
  <c r="D26" s="1"/>
  <c r="D27" s="1"/>
  <c r="B50"/>
  <c r="B58" s="1"/>
  <c r="B25"/>
  <c r="B26" s="1"/>
  <c r="B46"/>
  <c r="E5" i="1"/>
  <c r="B32" s="1"/>
  <c r="B33" s="1"/>
  <c r="D40" s="1"/>
  <c r="B10"/>
  <c r="D14"/>
  <c r="E12"/>
  <c r="E13"/>
  <c r="B61" s="1"/>
  <c r="O52" i="4" l="1"/>
  <c r="O53" s="1"/>
  <c r="O58"/>
  <c r="Q51"/>
  <c r="Q52"/>
  <c r="Q53" s="1"/>
  <c r="Q58"/>
  <c r="O55"/>
  <c r="O54"/>
  <c r="M59"/>
  <c r="M60"/>
  <c r="M62" s="1"/>
  <c r="M55"/>
  <c r="M54"/>
  <c r="M51"/>
  <c r="F58"/>
  <c r="F59" s="1"/>
  <c r="F52"/>
  <c r="F53" s="1"/>
  <c r="F55" s="1"/>
  <c r="D52"/>
  <c r="D53" s="1"/>
  <c r="D55" s="1"/>
  <c r="D58"/>
  <c r="D60" s="1"/>
  <c r="D62" s="1"/>
  <c r="F45"/>
  <c r="F47" s="1"/>
  <c r="D45"/>
  <c r="D47" s="1"/>
  <c r="J59"/>
  <c r="J60"/>
  <c r="J62" s="1"/>
  <c r="J51"/>
  <c r="J45"/>
  <c r="J47" s="1"/>
  <c r="J52"/>
  <c r="J53" s="1"/>
  <c r="H45"/>
  <c r="H47" s="1"/>
  <c r="H59"/>
  <c r="H61" s="1"/>
  <c r="H60"/>
  <c r="H62" s="1"/>
  <c r="H51"/>
  <c r="H52"/>
  <c r="H53" s="1"/>
  <c r="B27"/>
  <c r="B45" s="1"/>
  <c r="B47" s="1"/>
  <c r="B52"/>
  <c r="B53" s="1"/>
  <c r="B55" s="1"/>
  <c r="B51"/>
  <c r="B59"/>
  <c r="B61" s="1"/>
  <c r="B60"/>
  <c r="B60" i="1"/>
  <c r="D60" s="1"/>
  <c r="B41"/>
  <c r="D41" s="1"/>
  <c r="B44"/>
  <c r="B49" s="1"/>
  <c r="B52" s="1"/>
  <c r="D61"/>
  <c r="M61" i="4" l="1"/>
  <c r="F63"/>
  <c r="F65" s="1"/>
  <c r="F67" s="1"/>
  <c r="F61"/>
  <c r="O60"/>
  <c r="O62" s="1"/>
  <c r="O59"/>
  <c r="F60"/>
  <c r="F62" s="1"/>
  <c r="M71"/>
  <c r="M72" s="1"/>
  <c r="J61"/>
  <c r="Q59"/>
  <c r="Q60"/>
  <c r="Q62" s="1"/>
  <c r="Q54"/>
  <c r="Q55"/>
  <c r="O71"/>
  <c r="O72" s="1"/>
  <c r="O70"/>
  <c r="M63"/>
  <c r="M70"/>
  <c r="F54"/>
  <c r="F70" s="1"/>
  <c r="D59"/>
  <c r="D54"/>
  <c r="D71" s="1"/>
  <c r="D72" s="1"/>
  <c r="J63"/>
  <c r="J55"/>
  <c r="J54"/>
  <c r="H55"/>
  <c r="H54"/>
  <c r="H63"/>
  <c r="B54"/>
  <c r="B70" s="1"/>
  <c r="B63"/>
  <c r="B65" s="1"/>
  <c r="B62"/>
  <c r="B46" i="1"/>
  <c r="D46" s="1"/>
  <c r="G47" s="1"/>
  <c r="B45"/>
  <c r="D45" s="1"/>
  <c r="D44"/>
  <c r="B55"/>
  <c r="B63"/>
  <c r="D52"/>
  <c r="B53"/>
  <c r="G52" s="1"/>
  <c r="G53" s="1"/>
  <c r="Q61" i="4" l="1"/>
  <c r="D63"/>
  <c r="D64" s="1"/>
  <c r="D61"/>
  <c r="O61"/>
  <c r="O63"/>
  <c r="F66"/>
  <c r="F64"/>
  <c r="Q63"/>
  <c r="Q71"/>
  <c r="Q72" s="1"/>
  <c r="Q70"/>
  <c r="M64"/>
  <c r="M65"/>
  <c r="M67" s="1"/>
  <c r="F71"/>
  <c r="F72" s="1"/>
  <c r="D70"/>
  <c r="J65"/>
  <c r="J67" s="1"/>
  <c r="J64"/>
  <c r="J71"/>
  <c r="J72" s="1"/>
  <c r="J70"/>
  <c r="H71"/>
  <c r="H72" s="1"/>
  <c r="H70"/>
  <c r="H65"/>
  <c r="H67" s="1"/>
  <c r="H64"/>
  <c r="B71"/>
  <c r="B72" s="1"/>
  <c r="B64"/>
  <c r="B67"/>
  <c r="G46" i="1"/>
  <c r="B67" s="1"/>
  <c r="D67" s="1"/>
  <c r="D55"/>
  <c r="G55"/>
  <c r="B57" s="1"/>
  <c r="D57" s="1"/>
  <c r="D53"/>
  <c r="B54"/>
  <c r="D54" s="1"/>
  <c r="D65" i="4" l="1"/>
  <c r="D67" s="1"/>
  <c r="O64"/>
  <c r="O65"/>
  <c r="Q64"/>
  <c r="Q65"/>
  <c r="Q67" s="1"/>
  <c r="M66"/>
  <c r="D66"/>
  <c r="J66"/>
  <c r="H66"/>
  <c r="B66"/>
  <c r="B66" i="1"/>
  <c r="D66" s="1"/>
  <c r="B56"/>
  <c r="O67" i="4" l="1"/>
  <c r="O66"/>
  <c r="Q66"/>
</calcChain>
</file>

<file path=xl/sharedStrings.xml><?xml version="1.0" encoding="utf-8"?>
<sst xmlns="http://schemas.openxmlformats.org/spreadsheetml/2006/main" count="531" uniqueCount="109">
  <si>
    <t>m/s</t>
  </si>
  <si>
    <t>giri/minuto</t>
  </si>
  <si>
    <t>rad/s</t>
  </si>
  <si>
    <t>C</t>
  </si>
  <si>
    <t>°</t>
  </si>
  <si>
    <t>D2/D1</t>
  </si>
  <si>
    <t>D1</t>
  </si>
  <si>
    <t>m</t>
  </si>
  <si>
    <t>mm</t>
  </si>
  <si>
    <t>q</t>
  </si>
  <si>
    <t>So</t>
  </si>
  <si>
    <t>B</t>
  </si>
  <si>
    <t>m3/s</t>
  </si>
  <si>
    <t>watt</t>
  </si>
  <si>
    <t>cm</t>
  </si>
  <si>
    <t>Kw</t>
  </si>
  <si>
    <t>w</t>
  </si>
  <si>
    <t>j</t>
  </si>
  <si>
    <t>a</t>
  </si>
  <si>
    <t>cos alfa</t>
  </si>
  <si>
    <t>sen alfa</t>
  </si>
  <si>
    <t>m3/s unitaria</t>
  </si>
  <si>
    <t>Portata per unità di larghezza</t>
  </si>
  <si>
    <t>Dimensioni canali ingresso turbina</t>
  </si>
  <si>
    <t>Potenze e rendimento</t>
  </si>
  <si>
    <t>Pot ideale</t>
  </si>
  <si>
    <t>P effettiva</t>
  </si>
  <si>
    <t>Rendimento</t>
  </si>
  <si>
    <t>DIMENSIONAMENTO TURBINA BANKI</t>
  </si>
  <si>
    <t>l</t>
  </si>
  <si>
    <t>W/B</t>
  </si>
  <si>
    <t>W</t>
  </si>
  <si>
    <t>Area</t>
  </si>
  <si>
    <t>Q</t>
  </si>
  <si>
    <t>Portata Q</t>
  </si>
  <si>
    <t>n giri N</t>
  </si>
  <si>
    <t>m2</t>
  </si>
  <si>
    <t>K</t>
  </si>
  <si>
    <t>cos gamma</t>
  </si>
  <si>
    <t>rad</t>
  </si>
  <si>
    <t>r</t>
  </si>
  <si>
    <t>beta 1</t>
  </si>
  <si>
    <t>D2</t>
  </si>
  <si>
    <t>cos beta</t>
  </si>
  <si>
    <t>sen beta</t>
  </si>
  <si>
    <t>n° coppie polari</t>
  </si>
  <si>
    <t>alternatore</t>
  </si>
  <si>
    <t>ingresso turbina</t>
  </si>
  <si>
    <t>Lunghezza tubo</t>
  </si>
  <si>
    <t>Diametro tubo</t>
  </si>
  <si>
    <t>landa</t>
  </si>
  <si>
    <t>rugosità tubo</t>
  </si>
  <si>
    <t>Re</t>
  </si>
  <si>
    <t>v tubo</t>
  </si>
  <si>
    <t>perdite</t>
  </si>
  <si>
    <t>Velocità v turbina</t>
  </si>
  <si>
    <t>d. tubo</t>
  </si>
  <si>
    <t>circa 30 cm</t>
  </si>
  <si>
    <t>dipende dalla pendenza fiume</t>
  </si>
  <si>
    <t>P. ideale</t>
  </si>
  <si>
    <t>Salto geodet. H</t>
  </si>
  <si>
    <t>Area invaso</t>
  </si>
  <si>
    <t>Lati invaso</t>
  </si>
  <si>
    <t>sez. quadrata</t>
  </si>
  <si>
    <t>Per contenere la velocità nel tubo a 3 m/s serve un diametro</t>
  </si>
  <si>
    <t>Il tubo deve sopportare una pressione interna massima pari al salto geodetico</t>
  </si>
  <si>
    <t>Dp</t>
  </si>
  <si>
    <t>Pa</t>
  </si>
  <si>
    <t>alla sezione di uscita</t>
  </si>
  <si>
    <t>bar</t>
  </si>
  <si>
    <t>Lo spessore del tubo quindi non è importante.</t>
  </si>
  <si>
    <t>Dimensionamento tubatura per canalizzare l'acqua (contenendo le perdite di carico)</t>
  </si>
  <si>
    <t>sezione</t>
  </si>
  <si>
    <t>Diametri della girante</t>
  </si>
  <si>
    <t>raggio</t>
  </si>
  <si>
    <t>angolo</t>
  </si>
  <si>
    <t>Per canalizzare la portata nel tubo di alimentazione della turbina serve un invaso</t>
  </si>
  <si>
    <t>portata fiume</t>
  </si>
  <si>
    <t>sezione media</t>
  </si>
  <si>
    <t>velocità media</t>
  </si>
  <si>
    <t>Il salto utile effettivo Hm vale</t>
  </si>
  <si>
    <t>In ingresso la paletta è tangente alla retta individuata da beta1</t>
  </si>
  <si>
    <t>In uscita la paletta è tangente alla retta radiale</t>
  </si>
  <si>
    <t>Dati geometrici per il diseggno delle palette girante</t>
  </si>
  <si>
    <t>La paletta è un arco di circonferenza</t>
  </si>
  <si>
    <t>gamma</t>
  </si>
  <si>
    <t>ottimale</t>
  </si>
  <si>
    <t>serve diametro</t>
  </si>
  <si>
    <t>tubi</t>
  </si>
  <si>
    <t>Se abbiamo tubi di diametro massimo 10 cm dobbiamo dobbiamo usare</t>
  </si>
  <si>
    <t>vel. media fiume</t>
  </si>
  <si>
    <t>velocità tubo</t>
  </si>
  <si>
    <t>Vel. ING turbina</t>
  </si>
  <si>
    <t>g/min</t>
  </si>
  <si>
    <t>Rugosità</t>
  </si>
  <si>
    <t>Lato invaso</t>
  </si>
  <si>
    <t>m3/s m</t>
  </si>
  <si>
    <t>H utile</t>
  </si>
  <si>
    <t>coeff. Attrito</t>
  </si>
  <si>
    <t>Invaso per er canalizzare la portata nel tubo di alimentazione della turbina</t>
  </si>
  <si>
    <t>soluzione verde in cui vario la V ING turbina</t>
  </si>
  <si>
    <t>area ingresso</t>
  </si>
  <si>
    <t>diametro</t>
  </si>
  <si>
    <t>Convergente per accelerare acqua in ingresso alla turbina</t>
  </si>
  <si>
    <t>Dimensionamento tubatura per canalizzare l'acqua (per ridurre perdite di carico bassa vel.)</t>
  </si>
  <si>
    <t>k localizzate</t>
  </si>
  <si>
    <t>perdite attrito</t>
  </si>
  <si>
    <t>perdite localiz.</t>
  </si>
  <si>
    <t>Perdite tot.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</si>
</sst>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#,##0.000\ _€"/>
    <numFmt numFmtId="167" formatCode="0.0"/>
  </numFmts>
  <fonts count="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strike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trike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2" fillId="2" borderId="0" xfId="0" applyFont="1" applyFill="1"/>
    <xf numFmtId="2" fontId="1" fillId="2" borderId="0" xfId="0" applyNumberFormat="1" applyFont="1" applyFill="1"/>
    <xf numFmtId="0" fontId="1" fillId="0" borderId="0" xfId="0" applyFont="1" applyFill="1"/>
    <xf numFmtId="0" fontId="4" fillId="0" borderId="0" xfId="0" applyFont="1"/>
    <xf numFmtId="164" fontId="1" fillId="0" borderId="0" xfId="0" applyNumberFormat="1" applyFont="1"/>
    <xf numFmtId="0" fontId="1" fillId="2" borderId="0" xfId="0" applyFont="1" applyFill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quotePrefix="1" applyFont="1"/>
    <xf numFmtId="165" fontId="6" fillId="0" borderId="0" xfId="0" applyNumberFormat="1" applyFont="1"/>
    <xf numFmtId="1" fontId="6" fillId="0" borderId="0" xfId="0" applyNumberFormat="1" applyFont="1"/>
    <xf numFmtId="2" fontId="6" fillId="0" borderId="0" xfId="0" applyNumberFormat="1" applyFont="1"/>
    <xf numFmtId="166" fontId="6" fillId="0" borderId="0" xfId="0" applyNumberFormat="1" applyFont="1" applyAlignment="1">
      <alignment horizontal="right"/>
    </xf>
    <xf numFmtId="164" fontId="6" fillId="0" borderId="0" xfId="0" applyNumberFormat="1" applyFont="1"/>
    <xf numFmtId="0" fontId="8" fillId="0" borderId="0" xfId="0" applyFont="1"/>
    <xf numFmtId="0" fontId="6" fillId="3" borderId="0" xfId="0" applyFont="1" applyFill="1"/>
    <xf numFmtId="165" fontId="6" fillId="3" borderId="0" xfId="0" applyNumberFormat="1" applyFont="1" applyFill="1"/>
    <xf numFmtId="1" fontId="6" fillId="3" borderId="0" xfId="0" applyNumberFormat="1" applyFont="1" applyFill="1"/>
    <xf numFmtId="2" fontId="6" fillId="3" borderId="0" xfId="0" applyNumberFormat="1" applyFont="1" applyFill="1"/>
    <xf numFmtId="166" fontId="6" fillId="3" borderId="0" xfId="0" applyNumberFormat="1" applyFont="1" applyFill="1" applyAlignment="1">
      <alignment horizontal="right"/>
    </xf>
    <xf numFmtId="164" fontId="6" fillId="3" borderId="0" xfId="0" applyNumberFormat="1" applyFont="1" applyFill="1"/>
    <xf numFmtId="0" fontId="6" fillId="0" borderId="0" xfId="0" applyFont="1" applyFill="1"/>
    <xf numFmtId="165" fontId="6" fillId="0" borderId="0" xfId="0" applyNumberFormat="1" applyFont="1" applyFill="1"/>
    <xf numFmtId="1" fontId="6" fillId="0" borderId="0" xfId="0" applyNumberFormat="1" applyFont="1" applyFill="1"/>
    <xf numFmtId="2" fontId="6" fillId="0" borderId="0" xfId="0" applyNumberFormat="1" applyFont="1" applyFill="1"/>
    <xf numFmtId="166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2" fontId="6" fillId="2" borderId="3" xfId="0" applyNumberFormat="1" applyFont="1" applyFill="1" applyBorder="1"/>
    <xf numFmtId="2" fontId="6" fillId="2" borderId="4" xfId="0" applyNumberFormat="1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167" fontId="6" fillId="0" borderId="0" xfId="0" applyNumberFormat="1" applyFont="1"/>
    <xf numFmtId="167" fontId="6" fillId="3" borderId="0" xfId="0" applyNumberFormat="1" applyFont="1" applyFill="1"/>
    <xf numFmtId="2" fontId="6" fillId="4" borderId="0" xfId="0" applyNumberFormat="1" applyFont="1" applyFill="1"/>
    <xf numFmtId="0" fontId="6" fillId="2" borderId="7" xfId="0" applyFont="1" applyFill="1" applyBorder="1"/>
    <xf numFmtId="0" fontId="6" fillId="2" borderId="8" xfId="0" applyFont="1" applyFill="1" applyBorder="1"/>
    <xf numFmtId="0" fontId="7" fillId="2" borderId="8" xfId="0" applyFont="1" applyFill="1" applyBorder="1"/>
    <xf numFmtId="0" fontId="6" fillId="2" borderId="8" xfId="0" applyFont="1" applyFill="1" applyBorder="1" applyAlignment="1">
      <alignment horizontal="right"/>
    </xf>
    <xf numFmtId="2" fontId="6" fillId="2" borderId="8" xfId="0" applyNumberFormat="1" applyFont="1" applyFill="1" applyBorder="1"/>
    <xf numFmtId="0" fontId="6" fillId="2" borderId="9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69</xdr:row>
      <xdr:rowOff>53340</xdr:rowOff>
    </xdr:from>
    <xdr:to>
      <xdr:col>6</xdr:col>
      <xdr:colOff>191148</xdr:colOff>
      <xdr:row>79</xdr:row>
      <xdr:rowOff>220980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4740" y="15681960"/>
          <a:ext cx="1821828" cy="24536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350520</xdr:colOff>
      <xdr:row>38</xdr:row>
      <xdr:rowOff>45720</xdr:rowOff>
    </xdr:from>
    <xdr:to>
      <xdr:col>6</xdr:col>
      <xdr:colOff>502920</xdr:colOff>
      <xdr:row>40</xdr:row>
      <xdr:rowOff>205740</xdr:rowOff>
    </xdr:to>
    <xdr:grpSp>
      <xdr:nvGrpSpPr>
        <xdr:cNvPr id="5" name="Gruppo 4"/>
        <xdr:cNvGrpSpPr/>
      </xdr:nvGrpSpPr>
      <xdr:grpSpPr>
        <a:xfrm>
          <a:off x="4709160" y="8587740"/>
          <a:ext cx="1059180" cy="617220"/>
          <a:chOff x="8484870" y="1436370"/>
          <a:chExt cx="1383030" cy="914400"/>
        </a:xfrm>
      </xdr:grpSpPr>
      <xdr:sp macro="" textlink="">
        <xdr:nvSpPr>
          <xdr:cNvPr id="3" name="Triangolo isoscele 2"/>
          <xdr:cNvSpPr/>
        </xdr:nvSpPr>
        <xdr:spPr>
          <a:xfrm rot="5400000">
            <a:off x="8473440" y="1447800"/>
            <a:ext cx="914400" cy="891540"/>
          </a:xfrm>
          <a:prstGeom prst="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t-IT" sz="1100"/>
          </a:p>
        </xdr:txBody>
      </xdr:sp>
      <xdr:sp macro="" textlink="">
        <xdr:nvSpPr>
          <xdr:cNvPr id="4" name="Rettangolo 3"/>
          <xdr:cNvSpPr/>
        </xdr:nvSpPr>
        <xdr:spPr>
          <a:xfrm>
            <a:off x="9136380" y="1767840"/>
            <a:ext cx="731520" cy="228600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t-IT" sz="1100"/>
          </a:p>
        </xdr:txBody>
      </xdr:sp>
    </xdr:grpSp>
    <xdr:clientData/>
  </xdr:twoCellAnchor>
  <xdr:twoCellAnchor>
    <xdr:from>
      <xdr:col>5</xdr:col>
      <xdr:colOff>350520</xdr:colOff>
      <xdr:row>35</xdr:row>
      <xdr:rowOff>45720</xdr:rowOff>
    </xdr:from>
    <xdr:to>
      <xdr:col>6</xdr:col>
      <xdr:colOff>114300</xdr:colOff>
      <xdr:row>37</xdr:row>
      <xdr:rowOff>190500</xdr:rowOff>
    </xdr:to>
    <xdr:sp macro="" textlink="">
      <xdr:nvSpPr>
        <xdr:cNvPr id="6" name="Rettangolo 5"/>
        <xdr:cNvSpPr/>
      </xdr:nvSpPr>
      <xdr:spPr>
        <a:xfrm>
          <a:off x="4709160" y="7901940"/>
          <a:ext cx="670560" cy="6019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8</xdr:col>
      <xdr:colOff>83820</xdr:colOff>
      <xdr:row>27</xdr:row>
      <xdr:rowOff>45719</xdr:rowOff>
    </xdr:from>
    <xdr:to>
      <xdr:col>17</xdr:col>
      <xdr:colOff>379591</xdr:colOff>
      <xdr:row>39</xdr:row>
      <xdr:rowOff>144780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24600" y="6073139"/>
          <a:ext cx="5789791" cy="28422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121920</xdr:colOff>
      <xdr:row>41</xdr:row>
      <xdr:rowOff>160020</xdr:rowOff>
    </xdr:from>
    <xdr:to>
      <xdr:col>17</xdr:col>
      <xdr:colOff>543762</xdr:colOff>
      <xdr:row>55</xdr:row>
      <xdr:rowOff>182880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62700" y="9387840"/>
          <a:ext cx="5915862" cy="32232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53340</xdr:colOff>
      <xdr:row>56</xdr:row>
      <xdr:rowOff>126716</xdr:rowOff>
    </xdr:from>
    <xdr:to>
      <xdr:col>18</xdr:col>
      <xdr:colOff>152400</xdr:colOff>
      <xdr:row>67</xdr:row>
      <xdr:rowOff>160019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94120" y="12783536"/>
          <a:ext cx="6202680" cy="254790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228600</xdr:colOff>
      <xdr:row>10</xdr:row>
      <xdr:rowOff>31508</xdr:rowOff>
    </xdr:from>
    <xdr:to>
      <xdr:col>17</xdr:col>
      <xdr:colOff>266700</xdr:colOff>
      <xdr:row>26</xdr:row>
      <xdr:rowOff>121919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69380" y="2172728"/>
          <a:ext cx="5532120" cy="37480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213360</xdr:colOff>
      <xdr:row>0</xdr:row>
      <xdr:rowOff>91440</xdr:rowOff>
    </xdr:from>
    <xdr:to>
      <xdr:col>18</xdr:col>
      <xdr:colOff>0</xdr:colOff>
      <xdr:row>10</xdr:row>
      <xdr:rowOff>0</xdr:rowOff>
    </xdr:to>
    <xdr:sp macro="" textlink="">
      <xdr:nvSpPr>
        <xdr:cNvPr id="11" name="CasellaDiTesto 10"/>
        <xdr:cNvSpPr txBox="1"/>
      </xdr:nvSpPr>
      <xdr:spPr>
        <a:xfrm>
          <a:off x="6454140" y="91440"/>
          <a:ext cx="5890260" cy="2049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 b="1"/>
            <a:t>TURBINA BANKI</a:t>
          </a:r>
        </a:p>
        <a:p>
          <a:r>
            <a:rPr lang="it-IT" sz="1200" b="0" i="0">
              <a:solidFill>
                <a:schemeClr val="dk1"/>
              </a:solidFill>
              <a:latin typeface="+mn-lt"/>
              <a:ea typeface="+mn-ea"/>
              <a:cs typeface="+mn-cs"/>
            </a:rPr>
            <a:t>Il rendimento (circa 0,85) è inferiore rispetto a quello ottenibile da altri tipi di turbine (le tipologie classiche, quali Pelton, Turgo, Francis e Kaplan, possono superare lo 0,9), però rimane pressoché costante al variare della portata: proprio la sua costanza d'efficienza per un elevato range di funzionamento ne consente l'utilizzo in un campo di impiego piuttosto ampio (portata = 40-13000 l/s, salto = 2–200 m)</a:t>
          </a:r>
          <a:br>
            <a:rPr lang="it-IT" sz="12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it-IT" sz="1200"/>
            <a:t>La trasmissione del moto dalla turbina</a:t>
          </a:r>
          <a:r>
            <a:rPr lang="it-IT" sz="1200" baseline="0"/>
            <a:t> </a:t>
          </a:r>
          <a:r>
            <a:rPr lang="it-IT" sz="1200"/>
            <a:t>al generatore avviene tramite cinghia dentata per garantire la necessaria elasticità del sistema ed ottimizzare l’efficienza della trasmissione stessa.  La regolazione della portata è garantita da un particolare tegolo che consente una variazione da 0 a 100%.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6"/>
  <sheetViews>
    <sheetView tabSelected="1" zoomScaleNormal="100" workbookViewId="0">
      <selection activeCell="F27" sqref="F27"/>
    </sheetView>
  </sheetViews>
  <sheetFormatPr defaultRowHeight="15.6"/>
  <cols>
    <col min="1" max="1" width="17.77734375" style="12" customWidth="1"/>
    <col min="2" max="2" width="8.77734375" style="12" bestFit="1" customWidth="1"/>
    <col min="3" max="3" width="8.77734375" style="12" customWidth="1"/>
    <col min="4" max="4" width="8.77734375" style="12" bestFit="1" customWidth="1"/>
    <col min="5" max="5" width="8.88671875" style="12" customWidth="1"/>
    <col min="6" max="6" width="11" style="12" customWidth="1"/>
    <col min="7" max="7" width="8.88671875" style="12" customWidth="1"/>
    <col min="8" max="8" width="10" style="12" customWidth="1"/>
    <col min="9" max="9" width="7.109375" style="12" customWidth="1"/>
    <col min="10" max="10" width="9.33203125" style="12" customWidth="1"/>
    <col min="11" max="11" width="7.77734375" style="12" customWidth="1"/>
    <col min="12" max="12" width="5.109375" style="12" customWidth="1"/>
    <col min="13" max="16384" width="8.88671875" style="12"/>
  </cols>
  <sheetData>
    <row r="1" spans="1:18" ht="16.2" thickBot="1">
      <c r="A1" s="11" t="s">
        <v>28</v>
      </c>
    </row>
    <row r="2" spans="1:18" ht="21.6" customHeight="1" thickBot="1">
      <c r="A2" s="11"/>
      <c r="M2" s="49" t="s">
        <v>100</v>
      </c>
      <c r="N2" s="50"/>
      <c r="O2" s="50"/>
      <c r="P2" s="50"/>
      <c r="Q2" s="50"/>
      <c r="R2" s="51"/>
    </row>
    <row r="3" spans="1:18">
      <c r="A3" s="43" t="s">
        <v>60</v>
      </c>
      <c r="B3" s="32">
        <v>5</v>
      </c>
      <c r="C3" s="33" t="s">
        <v>7</v>
      </c>
      <c r="D3" s="32">
        <v>5</v>
      </c>
      <c r="E3" s="33" t="s">
        <v>7</v>
      </c>
      <c r="F3" s="32">
        <v>5</v>
      </c>
      <c r="G3" s="33" t="s">
        <v>7</v>
      </c>
      <c r="H3" s="32">
        <v>5</v>
      </c>
      <c r="I3" s="33" t="s">
        <v>7</v>
      </c>
      <c r="J3" s="32">
        <v>5</v>
      </c>
      <c r="K3" s="33" t="s">
        <v>7</v>
      </c>
      <c r="M3" s="32">
        <v>5</v>
      </c>
      <c r="N3" s="33" t="s">
        <v>7</v>
      </c>
      <c r="O3" s="32">
        <v>5</v>
      </c>
      <c r="P3" s="33" t="s">
        <v>7</v>
      </c>
      <c r="Q3" s="32">
        <v>5</v>
      </c>
      <c r="R3" s="33" t="s">
        <v>7</v>
      </c>
    </row>
    <row r="4" spans="1:18">
      <c r="A4" s="44" t="s">
        <v>48</v>
      </c>
      <c r="B4" s="34">
        <v>10</v>
      </c>
      <c r="C4" s="35" t="s">
        <v>7</v>
      </c>
      <c r="D4" s="34">
        <v>10</v>
      </c>
      <c r="E4" s="35" t="s">
        <v>7</v>
      </c>
      <c r="F4" s="34">
        <v>10</v>
      </c>
      <c r="G4" s="35" t="s">
        <v>7</v>
      </c>
      <c r="H4" s="34">
        <v>10</v>
      </c>
      <c r="I4" s="35" t="s">
        <v>7</v>
      </c>
      <c r="J4" s="34">
        <v>10</v>
      </c>
      <c r="K4" s="35" t="s">
        <v>7</v>
      </c>
      <c r="M4" s="34">
        <v>10</v>
      </c>
      <c r="N4" s="35" t="s">
        <v>7</v>
      </c>
      <c r="O4" s="34">
        <v>10</v>
      </c>
      <c r="P4" s="35" t="s">
        <v>7</v>
      </c>
      <c r="Q4" s="34">
        <v>10</v>
      </c>
      <c r="R4" s="35" t="s">
        <v>7</v>
      </c>
    </row>
    <row r="5" spans="1:18">
      <c r="A5" s="44" t="s">
        <v>94</v>
      </c>
      <c r="B5" s="34">
        <f>100/1000000</f>
        <v>1E-4</v>
      </c>
      <c r="C5" s="35" t="s">
        <v>7</v>
      </c>
      <c r="D5" s="34">
        <f>100/1000000</f>
        <v>1E-4</v>
      </c>
      <c r="E5" s="35" t="s">
        <v>7</v>
      </c>
      <c r="F5" s="34">
        <f>100/1000000</f>
        <v>1E-4</v>
      </c>
      <c r="G5" s="35" t="s">
        <v>7</v>
      </c>
      <c r="H5" s="34">
        <f>100/1000000</f>
        <v>1E-4</v>
      </c>
      <c r="I5" s="35" t="s">
        <v>7</v>
      </c>
      <c r="J5" s="34">
        <f>100/1000000</f>
        <v>1E-4</v>
      </c>
      <c r="K5" s="35" t="s">
        <v>7</v>
      </c>
      <c r="M5" s="34">
        <f>100/1000000</f>
        <v>1E-4</v>
      </c>
      <c r="N5" s="35" t="s">
        <v>7</v>
      </c>
      <c r="O5" s="34">
        <f>100/1000000</f>
        <v>1E-4</v>
      </c>
      <c r="P5" s="35" t="s">
        <v>7</v>
      </c>
      <c r="Q5" s="34">
        <f>100/1000000</f>
        <v>1E-4</v>
      </c>
      <c r="R5" s="35" t="s">
        <v>7</v>
      </c>
    </row>
    <row r="6" spans="1:18">
      <c r="A6" s="44" t="s">
        <v>34</v>
      </c>
      <c r="B6" s="34">
        <v>0.35</v>
      </c>
      <c r="C6" s="35" t="s">
        <v>12</v>
      </c>
      <c r="D6" s="34">
        <v>0.3</v>
      </c>
      <c r="E6" s="35" t="s">
        <v>12</v>
      </c>
      <c r="F6" s="34">
        <v>0.25</v>
      </c>
      <c r="G6" s="35" t="s">
        <v>12</v>
      </c>
      <c r="H6" s="34">
        <v>0.15</v>
      </c>
      <c r="I6" s="35" t="s">
        <v>12</v>
      </c>
      <c r="J6" s="34">
        <v>0.1</v>
      </c>
      <c r="K6" s="35" t="s">
        <v>12</v>
      </c>
      <c r="M6" s="34">
        <v>0.3</v>
      </c>
      <c r="N6" s="35" t="s">
        <v>12</v>
      </c>
      <c r="O6" s="34">
        <v>0.3</v>
      </c>
      <c r="P6" s="35" t="s">
        <v>12</v>
      </c>
      <c r="Q6" s="34">
        <v>0.3</v>
      </c>
      <c r="R6" s="35" t="s">
        <v>12</v>
      </c>
    </row>
    <row r="7" spans="1:18">
      <c r="A7" s="44" t="s">
        <v>92</v>
      </c>
      <c r="B7" s="34">
        <v>8</v>
      </c>
      <c r="C7" s="35" t="s">
        <v>0</v>
      </c>
      <c r="D7" s="34">
        <v>8</v>
      </c>
      <c r="E7" s="35" t="s">
        <v>0</v>
      </c>
      <c r="F7" s="34">
        <v>8</v>
      </c>
      <c r="G7" s="35" t="s">
        <v>0</v>
      </c>
      <c r="H7" s="34">
        <v>8</v>
      </c>
      <c r="I7" s="35" t="s">
        <v>0</v>
      </c>
      <c r="J7" s="34">
        <v>8</v>
      </c>
      <c r="K7" s="35" t="s">
        <v>0</v>
      </c>
      <c r="M7" s="34">
        <v>8</v>
      </c>
      <c r="N7" s="35" t="s">
        <v>0</v>
      </c>
      <c r="O7" s="34">
        <v>9</v>
      </c>
      <c r="P7" s="35" t="s">
        <v>0</v>
      </c>
      <c r="Q7" s="34">
        <v>10</v>
      </c>
      <c r="R7" s="35" t="s">
        <v>0</v>
      </c>
    </row>
    <row r="8" spans="1:18">
      <c r="A8" s="44" t="s">
        <v>45</v>
      </c>
      <c r="B8" s="34">
        <v>12</v>
      </c>
      <c r="C8" s="35"/>
      <c r="D8" s="34">
        <v>12</v>
      </c>
      <c r="E8" s="35"/>
      <c r="F8" s="34">
        <v>12</v>
      </c>
      <c r="G8" s="35"/>
      <c r="H8" s="34">
        <v>12</v>
      </c>
      <c r="I8" s="35"/>
      <c r="J8" s="34">
        <v>12</v>
      </c>
      <c r="K8" s="35"/>
      <c r="M8" s="34">
        <v>12</v>
      </c>
      <c r="N8" s="35"/>
      <c r="O8" s="34">
        <v>12</v>
      </c>
      <c r="P8" s="35"/>
      <c r="Q8" s="34">
        <v>12</v>
      </c>
      <c r="R8" s="35"/>
    </row>
    <row r="9" spans="1:18">
      <c r="A9" s="44" t="s">
        <v>35</v>
      </c>
      <c r="B9" s="34">
        <f>60*50/B8</f>
        <v>250</v>
      </c>
      <c r="C9" s="35" t="s">
        <v>93</v>
      </c>
      <c r="D9" s="34">
        <f>60*50/D8</f>
        <v>250</v>
      </c>
      <c r="E9" s="35" t="s">
        <v>93</v>
      </c>
      <c r="F9" s="34">
        <f>60*50/F8</f>
        <v>250</v>
      </c>
      <c r="G9" s="35" t="s">
        <v>93</v>
      </c>
      <c r="H9" s="34">
        <f>60*50/H8</f>
        <v>250</v>
      </c>
      <c r="I9" s="35" t="s">
        <v>93</v>
      </c>
      <c r="J9" s="34">
        <f>60*50/J8</f>
        <v>250</v>
      </c>
      <c r="K9" s="35" t="s">
        <v>93</v>
      </c>
      <c r="M9" s="34">
        <f>60*50/M8</f>
        <v>250</v>
      </c>
      <c r="N9" s="35" t="s">
        <v>93</v>
      </c>
      <c r="O9" s="34">
        <f>60*50/O8</f>
        <v>250</v>
      </c>
      <c r="P9" s="35" t="s">
        <v>93</v>
      </c>
      <c r="Q9" s="34">
        <f>60*50/Q8</f>
        <v>250</v>
      </c>
      <c r="R9" s="35" t="s">
        <v>93</v>
      </c>
    </row>
    <row r="10" spans="1:18">
      <c r="A10" s="45" t="s">
        <v>16</v>
      </c>
      <c r="B10" s="36">
        <f>2*3.14*B9/60</f>
        <v>26.166666666666668</v>
      </c>
      <c r="C10" s="35" t="s">
        <v>2</v>
      </c>
      <c r="D10" s="36">
        <f>2*3.14*D9/60</f>
        <v>26.166666666666668</v>
      </c>
      <c r="E10" s="35" t="s">
        <v>2</v>
      </c>
      <c r="F10" s="36">
        <f>2*3.14*F9/60</f>
        <v>26.166666666666668</v>
      </c>
      <c r="G10" s="35" t="s">
        <v>2</v>
      </c>
      <c r="H10" s="36">
        <f>2*3.14*H9/60</f>
        <v>26.166666666666668</v>
      </c>
      <c r="I10" s="35" t="s">
        <v>2</v>
      </c>
      <c r="J10" s="36">
        <f>2*3.14*J9/60</f>
        <v>26.166666666666668</v>
      </c>
      <c r="K10" s="35" t="s">
        <v>2</v>
      </c>
      <c r="M10" s="36">
        <f>2*3.14*M9/60</f>
        <v>26.166666666666668</v>
      </c>
      <c r="N10" s="35" t="s">
        <v>2</v>
      </c>
      <c r="O10" s="36">
        <f>2*3.14*O9/60</f>
        <v>26.166666666666668</v>
      </c>
      <c r="P10" s="35" t="s">
        <v>2</v>
      </c>
      <c r="Q10" s="36">
        <f>2*3.14*Q9/60</f>
        <v>26.166666666666668</v>
      </c>
      <c r="R10" s="35" t="s">
        <v>2</v>
      </c>
    </row>
    <row r="11" spans="1:18">
      <c r="A11" s="44" t="s">
        <v>3</v>
      </c>
      <c r="B11" s="34">
        <v>0.98</v>
      </c>
      <c r="C11" s="35"/>
      <c r="D11" s="34">
        <v>0.98</v>
      </c>
      <c r="E11" s="35"/>
      <c r="F11" s="34">
        <v>0.98</v>
      </c>
      <c r="G11" s="35"/>
      <c r="H11" s="34">
        <v>0.98</v>
      </c>
      <c r="I11" s="35"/>
      <c r="J11" s="34">
        <v>0.98</v>
      </c>
      <c r="K11" s="35"/>
      <c r="M11" s="34">
        <v>0.98</v>
      </c>
      <c r="N11" s="35"/>
      <c r="O11" s="34">
        <v>0.98</v>
      </c>
      <c r="P11" s="35"/>
      <c r="Q11" s="34">
        <v>0.98</v>
      </c>
      <c r="R11" s="35"/>
    </row>
    <row r="12" spans="1:18">
      <c r="A12" s="45" t="s">
        <v>17</v>
      </c>
      <c r="B12" s="34">
        <v>0.98</v>
      </c>
      <c r="C12" s="35"/>
      <c r="D12" s="34">
        <v>0.98</v>
      </c>
      <c r="E12" s="35"/>
      <c r="F12" s="34">
        <v>0.98</v>
      </c>
      <c r="G12" s="35"/>
      <c r="H12" s="34">
        <v>0.98</v>
      </c>
      <c r="I12" s="35"/>
      <c r="J12" s="34">
        <v>0.98</v>
      </c>
      <c r="K12" s="35"/>
      <c r="M12" s="34">
        <v>0.98</v>
      </c>
      <c r="N12" s="35"/>
      <c r="O12" s="34">
        <v>0.98</v>
      </c>
      <c r="P12" s="35"/>
      <c r="Q12" s="34">
        <v>0.98</v>
      </c>
      <c r="R12" s="35"/>
    </row>
    <row r="13" spans="1:18">
      <c r="A13" s="45" t="s">
        <v>18</v>
      </c>
      <c r="B13" s="34">
        <v>22</v>
      </c>
      <c r="C13" s="35" t="s">
        <v>4</v>
      </c>
      <c r="D13" s="34">
        <v>22</v>
      </c>
      <c r="E13" s="35" t="s">
        <v>4</v>
      </c>
      <c r="F13" s="34">
        <v>22</v>
      </c>
      <c r="G13" s="35" t="s">
        <v>4</v>
      </c>
      <c r="H13" s="34">
        <v>22</v>
      </c>
      <c r="I13" s="35" t="s">
        <v>4</v>
      </c>
      <c r="J13" s="34">
        <v>22</v>
      </c>
      <c r="K13" s="35" t="s">
        <v>4</v>
      </c>
      <c r="M13" s="34">
        <v>22</v>
      </c>
      <c r="N13" s="35" t="s">
        <v>4</v>
      </c>
      <c r="O13" s="34">
        <v>22</v>
      </c>
      <c r="P13" s="35" t="s">
        <v>4</v>
      </c>
      <c r="Q13" s="34">
        <v>22</v>
      </c>
      <c r="R13" s="35" t="s">
        <v>4</v>
      </c>
    </row>
    <row r="14" spans="1:18">
      <c r="A14" s="46" t="s">
        <v>20</v>
      </c>
      <c r="B14" s="36">
        <f>SIN(RADIANS(B13))</f>
        <v>0.37460659341591201</v>
      </c>
      <c r="C14" s="37"/>
      <c r="D14" s="36">
        <f>SIN(RADIANS(D13))</f>
        <v>0.37460659341591201</v>
      </c>
      <c r="E14" s="37"/>
      <c r="F14" s="36">
        <f>SIN(RADIANS(F13))</f>
        <v>0.37460659341591201</v>
      </c>
      <c r="G14" s="37"/>
      <c r="H14" s="36">
        <f>SIN(RADIANS(H13))</f>
        <v>0.37460659341591201</v>
      </c>
      <c r="I14" s="37"/>
      <c r="J14" s="36">
        <f>SIN(RADIANS(J13))</f>
        <v>0.37460659341591201</v>
      </c>
      <c r="K14" s="35"/>
      <c r="M14" s="36">
        <f>SIN(RADIANS(M13))</f>
        <v>0.37460659341591201</v>
      </c>
      <c r="N14" s="37"/>
      <c r="O14" s="36">
        <f>SIN(RADIANS(O13))</f>
        <v>0.37460659341591201</v>
      </c>
      <c r="P14" s="37"/>
      <c r="Q14" s="36">
        <f>SIN(RADIANS(Q13))</f>
        <v>0.37460659341591201</v>
      </c>
      <c r="R14" s="37"/>
    </row>
    <row r="15" spans="1:18">
      <c r="A15" s="46" t="s">
        <v>19</v>
      </c>
      <c r="B15" s="36">
        <f>COS(RADIANS(B13))</f>
        <v>0.92718385456678742</v>
      </c>
      <c r="C15" s="37"/>
      <c r="D15" s="36">
        <f>COS(RADIANS(D13))</f>
        <v>0.92718385456678742</v>
      </c>
      <c r="E15" s="37"/>
      <c r="F15" s="36">
        <f>COS(RADIANS(F13))</f>
        <v>0.92718385456678742</v>
      </c>
      <c r="G15" s="37"/>
      <c r="H15" s="36">
        <f>COS(RADIANS(H13))</f>
        <v>0.92718385456678742</v>
      </c>
      <c r="I15" s="37"/>
      <c r="J15" s="36">
        <f>COS(RADIANS(J13))</f>
        <v>0.92718385456678742</v>
      </c>
      <c r="K15" s="35"/>
      <c r="M15" s="36">
        <f>COS(RADIANS(M13))</f>
        <v>0.92718385456678742</v>
      </c>
      <c r="N15" s="37"/>
      <c r="O15" s="36">
        <f>COS(RADIANS(O13))</f>
        <v>0.92718385456678742</v>
      </c>
      <c r="P15" s="37"/>
      <c r="Q15" s="36">
        <f>COS(RADIANS(Q13))</f>
        <v>0.92718385456678742</v>
      </c>
      <c r="R15" s="37"/>
    </row>
    <row r="16" spans="1:18">
      <c r="A16" s="45" t="s">
        <v>29</v>
      </c>
      <c r="B16" s="34">
        <v>90</v>
      </c>
      <c r="C16" s="35" t="s">
        <v>4</v>
      </c>
      <c r="D16" s="34">
        <v>90</v>
      </c>
      <c r="E16" s="35" t="s">
        <v>4</v>
      </c>
      <c r="F16" s="34">
        <v>90</v>
      </c>
      <c r="G16" s="35" t="s">
        <v>4</v>
      </c>
      <c r="H16" s="34">
        <v>90</v>
      </c>
      <c r="I16" s="35" t="s">
        <v>4</v>
      </c>
      <c r="J16" s="34">
        <v>90</v>
      </c>
      <c r="K16" s="35" t="s">
        <v>4</v>
      </c>
      <c r="M16" s="34">
        <v>90</v>
      </c>
      <c r="N16" s="35" t="s">
        <v>4</v>
      </c>
      <c r="O16" s="34">
        <v>90</v>
      </c>
      <c r="P16" s="35" t="s">
        <v>4</v>
      </c>
      <c r="Q16" s="34">
        <v>90</v>
      </c>
      <c r="R16" s="35" t="s">
        <v>4</v>
      </c>
    </row>
    <row r="17" spans="1:18">
      <c r="A17" s="47"/>
      <c r="B17" s="36">
        <f>RADIANS(B16)</f>
        <v>1.5707963267948966</v>
      </c>
      <c r="C17" s="35" t="s">
        <v>39</v>
      </c>
      <c r="D17" s="36">
        <f>RADIANS(D16)</f>
        <v>1.5707963267948966</v>
      </c>
      <c r="E17" s="35" t="s">
        <v>39</v>
      </c>
      <c r="F17" s="36">
        <f>RADIANS(F16)</f>
        <v>1.5707963267948966</v>
      </c>
      <c r="G17" s="35" t="s">
        <v>39</v>
      </c>
      <c r="H17" s="36">
        <f>RADIANS(H16)</f>
        <v>1.5707963267948966</v>
      </c>
      <c r="I17" s="35" t="s">
        <v>39</v>
      </c>
      <c r="J17" s="36">
        <f>RADIANS(J16)</f>
        <v>1.5707963267948966</v>
      </c>
      <c r="K17" s="35" t="s">
        <v>39</v>
      </c>
      <c r="M17" s="36">
        <f>RADIANS(M16)</f>
        <v>1.5707963267948966</v>
      </c>
      <c r="N17" s="35" t="s">
        <v>39</v>
      </c>
      <c r="O17" s="36">
        <f>RADIANS(O16)</f>
        <v>1.5707963267948966</v>
      </c>
      <c r="P17" s="35" t="s">
        <v>39</v>
      </c>
      <c r="Q17" s="36">
        <f>RADIANS(Q16)</f>
        <v>1.5707963267948966</v>
      </c>
      <c r="R17" s="35" t="s">
        <v>39</v>
      </c>
    </row>
    <row r="18" spans="1:18">
      <c r="A18" s="44" t="s">
        <v>5</v>
      </c>
      <c r="B18" s="34">
        <v>0.68</v>
      </c>
      <c r="C18" s="35"/>
      <c r="D18" s="34">
        <v>0.68</v>
      </c>
      <c r="E18" s="35"/>
      <c r="F18" s="34">
        <v>0.68</v>
      </c>
      <c r="G18" s="35"/>
      <c r="H18" s="34">
        <v>0.68</v>
      </c>
      <c r="I18" s="35"/>
      <c r="J18" s="34">
        <v>0.68</v>
      </c>
      <c r="K18" s="35"/>
      <c r="M18" s="34">
        <v>0.68</v>
      </c>
      <c r="N18" s="35"/>
      <c r="O18" s="34">
        <v>0.68</v>
      </c>
      <c r="P18" s="35"/>
      <c r="Q18" s="34">
        <v>0.68</v>
      </c>
      <c r="R18" s="35"/>
    </row>
    <row r="19" spans="1:18" ht="16.2" thickBot="1">
      <c r="A19" s="48" t="s">
        <v>30</v>
      </c>
      <c r="B19" s="38">
        <v>1.5</v>
      </c>
      <c r="C19" s="39"/>
      <c r="D19" s="38">
        <v>1.5</v>
      </c>
      <c r="E19" s="39"/>
      <c r="F19" s="38">
        <v>1.5</v>
      </c>
      <c r="G19" s="39"/>
      <c r="H19" s="38">
        <v>1.5</v>
      </c>
      <c r="I19" s="39"/>
      <c r="J19" s="38">
        <v>1.5</v>
      </c>
      <c r="K19" s="39"/>
      <c r="M19" s="38">
        <v>1.5</v>
      </c>
      <c r="N19" s="39"/>
      <c r="O19" s="38">
        <v>1.5</v>
      </c>
      <c r="P19" s="39"/>
      <c r="Q19" s="38">
        <v>1.5</v>
      </c>
      <c r="R19" s="39"/>
    </row>
    <row r="21" spans="1:18">
      <c r="A21" s="11" t="s">
        <v>104</v>
      </c>
    </row>
    <row r="22" spans="1:18">
      <c r="A22" s="12" t="s">
        <v>91</v>
      </c>
      <c r="B22" s="12">
        <v>4.5</v>
      </c>
      <c r="C22" s="12" t="s">
        <v>0</v>
      </c>
      <c r="D22" s="20">
        <v>4</v>
      </c>
      <c r="E22" s="12" t="s">
        <v>0</v>
      </c>
      <c r="F22" s="12">
        <v>3.3</v>
      </c>
      <c r="G22" s="12" t="s">
        <v>0</v>
      </c>
      <c r="H22" s="12">
        <v>2</v>
      </c>
      <c r="I22" s="12" t="s">
        <v>0</v>
      </c>
      <c r="J22" s="12">
        <v>1.4</v>
      </c>
      <c r="K22" s="12" t="s">
        <v>0</v>
      </c>
      <c r="L22" s="13"/>
      <c r="M22" s="26">
        <v>4</v>
      </c>
      <c r="N22" s="12" t="s">
        <v>0</v>
      </c>
      <c r="O22" s="26">
        <v>4</v>
      </c>
      <c r="P22" s="12" t="s">
        <v>0</v>
      </c>
      <c r="Q22" s="26">
        <v>4</v>
      </c>
      <c r="R22" s="12" t="s">
        <v>0</v>
      </c>
    </row>
    <row r="23" spans="1:18">
      <c r="A23" s="12" t="s">
        <v>56</v>
      </c>
      <c r="B23" s="14">
        <f>((B6/B22)*4/3.14)^0.5</f>
        <v>0.31476971215705724</v>
      </c>
      <c r="C23" s="14" t="s">
        <v>7</v>
      </c>
      <c r="D23" s="21">
        <f>((D6/D22)*4/3.14)^0.5</f>
        <v>0.30909772123696633</v>
      </c>
      <c r="E23" s="14" t="s">
        <v>7</v>
      </c>
      <c r="F23" s="14">
        <f>((F6/F22)*4/3.14)^0.5</f>
        <v>0.31065489845360161</v>
      </c>
      <c r="G23" s="14" t="s">
        <v>7</v>
      </c>
      <c r="H23" s="14">
        <f>((H6/H22)*4/3.14)^0.5</f>
        <v>0.30909772123696633</v>
      </c>
      <c r="I23" s="14" t="s">
        <v>7</v>
      </c>
      <c r="J23" s="14">
        <f>((J6/J22)*4/3.14)^0.5</f>
        <v>0.30164848870338085</v>
      </c>
      <c r="K23" s="12" t="s">
        <v>7</v>
      </c>
      <c r="M23" s="27">
        <f>((M6/M22)*4/3.14)^0.5</f>
        <v>0.30909772123696633</v>
      </c>
      <c r="N23" s="14" t="s">
        <v>7</v>
      </c>
      <c r="O23" s="27">
        <f>((O6/O22)*4/3.14)^0.5</f>
        <v>0.30909772123696633</v>
      </c>
      <c r="P23" s="14" t="s">
        <v>7</v>
      </c>
      <c r="Q23" s="27">
        <f>((Q6/Q22)*4/3.14)^0.5</f>
        <v>0.30909772123696633</v>
      </c>
      <c r="R23" s="14" t="s">
        <v>7</v>
      </c>
    </row>
    <row r="24" spans="1:18">
      <c r="A24" s="12" t="s">
        <v>72</v>
      </c>
      <c r="B24" s="14">
        <f>3.14*B23^2/4</f>
        <v>7.7777777777777779E-2</v>
      </c>
      <c r="C24" s="14" t="s">
        <v>36</v>
      </c>
      <c r="D24" s="21">
        <f>3.14*D23^2/4</f>
        <v>7.4999999999999997E-2</v>
      </c>
      <c r="E24" s="14" t="s">
        <v>36</v>
      </c>
      <c r="F24" s="14">
        <f>3.14*F23^2/4</f>
        <v>7.575757575757576E-2</v>
      </c>
      <c r="G24" s="14" t="s">
        <v>36</v>
      </c>
      <c r="H24" s="14">
        <f>3.14*H23^2/4</f>
        <v>7.4999999999999997E-2</v>
      </c>
      <c r="I24" s="14" t="s">
        <v>36</v>
      </c>
      <c r="J24" s="14">
        <f>3.14*J23^2/4</f>
        <v>7.1428571428571438E-2</v>
      </c>
      <c r="K24" s="12" t="s">
        <v>36</v>
      </c>
      <c r="M24" s="27">
        <f>3.14*M23^2/4</f>
        <v>7.4999999999999997E-2</v>
      </c>
      <c r="N24" s="14" t="s">
        <v>36</v>
      </c>
      <c r="O24" s="27">
        <f>3.14*O23^2/4</f>
        <v>7.4999999999999997E-2</v>
      </c>
      <c r="P24" s="14" t="s">
        <v>36</v>
      </c>
      <c r="Q24" s="27">
        <f>3.14*Q23^2/4</f>
        <v>7.4999999999999997E-2</v>
      </c>
      <c r="R24" s="14" t="s">
        <v>36</v>
      </c>
    </row>
    <row r="25" spans="1:18">
      <c r="A25" s="12" t="s">
        <v>52</v>
      </c>
      <c r="B25" s="15">
        <f>B23*B22/(1.1/1000000)</f>
        <v>1287694.2770061432</v>
      </c>
      <c r="C25" s="15" t="s">
        <v>7</v>
      </c>
      <c r="D25" s="22">
        <f>D23*D22/(1.1/1000000)</f>
        <v>1123991.7135889684</v>
      </c>
      <c r="E25" s="15" t="s">
        <v>7</v>
      </c>
      <c r="F25" s="15">
        <f>F23*F22/(1.1/1000000)</f>
        <v>931964.69536080468</v>
      </c>
      <c r="G25" s="15" t="s">
        <v>7</v>
      </c>
      <c r="H25" s="15">
        <f>H23*H22/(1.1/1000000)</f>
        <v>561995.85679448419</v>
      </c>
      <c r="I25" s="15" t="s">
        <v>7</v>
      </c>
      <c r="J25" s="15">
        <f>J23*J22/(1.1/1000000)</f>
        <v>383916.25834975741</v>
      </c>
      <c r="K25" s="12" t="s">
        <v>7</v>
      </c>
      <c r="M25" s="28">
        <f>M23*M22/(1.1/1000000)</f>
        <v>1123991.7135889684</v>
      </c>
      <c r="N25" s="15" t="s">
        <v>7</v>
      </c>
      <c r="O25" s="28">
        <f>O23*O22/(1.1/1000000)</f>
        <v>1123991.7135889684</v>
      </c>
      <c r="P25" s="15" t="s">
        <v>7</v>
      </c>
      <c r="Q25" s="28">
        <f>Q23*Q22/(1.1/1000000)</f>
        <v>1123991.7135889684</v>
      </c>
      <c r="R25" s="15" t="s">
        <v>7</v>
      </c>
    </row>
    <row r="26" spans="1:18">
      <c r="A26" s="12" t="s">
        <v>98</v>
      </c>
      <c r="B26" s="14">
        <f>0.11*(B5/B23+68/B25)^(1/4)</f>
        <v>1.5261238485745642E-2</v>
      </c>
      <c r="C26" s="14"/>
      <c r="D26" s="21">
        <f>0.11*(D5/D23+68/D25)^(1/4)</f>
        <v>1.5398606252446089E-2</v>
      </c>
      <c r="E26" s="14"/>
      <c r="F26" s="14">
        <f>0.11*(F5/F23+68/F25)^(1/4)</f>
        <v>1.5506178342181503E-2</v>
      </c>
      <c r="G26" s="14"/>
      <c r="H26" s="14">
        <f>0.11*(H5/H23+68/H25)^(1/4)</f>
        <v>1.5972224928522748E-2</v>
      </c>
      <c r="I26" s="14"/>
      <c r="J26" s="14">
        <f>0.11*(J5/J23+68/J25)^(1/4)</f>
        <v>1.6519388123150288E-2</v>
      </c>
      <c r="M26" s="27">
        <f>0.11*(M5/M23+68/M25)^(1/4)</f>
        <v>1.5398606252446089E-2</v>
      </c>
      <c r="N26" s="14"/>
      <c r="O26" s="27">
        <f>0.11*(O5/O23+68/O25)^(1/4)</f>
        <v>1.5398606252446089E-2</v>
      </c>
      <c r="P26" s="14"/>
      <c r="Q26" s="27">
        <f>0.11*(Q5/Q23+68/Q25)^(1/4)</f>
        <v>1.5398606252446089E-2</v>
      </c>
      <c r="R26" s="14"/>
    </row>
    <row r="27" spans="1:18">
      <c r="A27" s="12" t="s">
        <v>106</v>
      </c>
      <c r="B27" s="14">
        <f>B26*B4/B23*B22^2/19.62</f>
        <v>0.50040641285643495</v>
      </c>
      <c r="C27" s="14" t="s">
        <v>7</v>
      </c>
      <c r="D27" s="21">
        <f>D26*D4/D23*D22^2/19.62</f>
        <v>0.40626236311162917</v>
      </c>
      <c r="E27" s="14" t="s">
        <v>7</v>
      </c>
      <c r="F27" s="14">
        <f>F26*F4/F23*F22^2/19.62</f>
        <v>0.27704827174262942</v>
      </c>
      <c r="G27" s="14" t="s">
        <v>7</v>
      </c>
      <c r="H27" s="14">
        <f>H26*H4/H23*H22^2/19.62</f>
        <v>0.10534904486211784</v>
      </c>
      <c r="I27" s="14" t="s">
        <v>7</v>
      </c>
      <c r="J27" s="14">
        <f>J26*J4/J23*J22^2/19.62</f>
        <v>5.4707878228026155E-2</v>
      </c>
      <c r="K27" s="12" t="s">
        <v>7</v>
      </c>
      <c r="M27" s="27">
        <f>M26*M4/M23*M22^2/19.62</f>
        <v>0.40626236311162917</v>
      </c>
      <c r="N27" s="14" t="s">
        <v>7</v>
      </c>
      <c r="O27" s="27">
        <f>O26*O4/O23*O22^2/19.62</f>
        <v>0.40626236311162917</v>
      </c>
      <c r="P27" s="14" t="s">
        <v>7</v>
      </c>
      <c r="Q27" s="27">
        <f>Q26*Q4/Q23*Q22^2/19.62</f>
        <v>0.40626236311162917</v>
      </c>
      <c r="R27" s="14" t="s">
        <v>7</v>
      </c>
    </row>
    <row r="28" spans="1:18">
      <c r="A28" s="12" t="s">
        <v>105</v>
      </c>
      <c r="B28" s="40">
        <v>0.4</v>
      </c>
      <c r="C28" s="14"/>
      <c r="D28" s="41">
        <v>0.4</v>
      </c>
      <c r="E28" s="14"/>
      <c r="F28" s="40">
        <v>0.4</v>
      </c>
      <c r="G28" s="14"/>
      <c r="H28" s="40">
        <v>0.4</v>
      </c>
      <c r="I28" s="14"/>
      <c r="J28" s="40">
        <v>0.4</v>
      </c>
      <c r="K28" s="14"/>
      <c r="M28" s="40">
        <v>0.4</v>
      </c>
      <c r="N28" s="14"/>
      <c r="O28" s="40">
        <v>0.4</v>
      </c>
      <c r="P28" s="14"/>
      <c r="Q28" s="40">
        <v>0.4</v>
      </c>
      <c r="R28" s="14"/>
    </row>
    <row r="29" spans="1:18">
      <c r="A29" s="12" t="s">
        <v>107</v>
      </c>
      <c r="B29" s="16">
        <f>B28*B22^2/19.62</f>
        <v>0.41284403669724767</v>
      </c>
      <c r="C29" s="12" t="s">
        <v>7</v>
      </c>
      <c r="D29" s="23">
        <f>D28*D22^2/19.62</f>
        <v>0.32619775739041795</v>
      </c>
      <c r="E29" s="12" t="s">
        <v>7</v>
      </c>
      <c r="F29" s="16">
        <f>F28*F22^2/19.62</f>
        <v>0.2220183486238532</v>
      </c>
      <c r="G29" s="12" t="s">
        <v>7</v>
      </c>
      <c r="H29" s="16">
        <f>H28*H22^2/19.62</f>
        <v>8.1549439347604488E-2</v>
      </c>
      <c r="I29" s="12" t="s">
        <v>7</v>
      </c>
      <c r="J29" s="16">
        <f>J28*J22^2/19.62</f>
        <v>3.9959225280326194E-2</v>
      </c>
      <c r="K29" s="12" t="s">
        <v>7</v>
      </c>
      <c r="M29" s="16">
        <f>M28*M22^2/19.62</f>
        <v>0.32619775739041795</v>
      </c>
      <c r="N29" s="12" t="s">
        <v>7</v>
      </c>
      <c r="O29" s="16">
        <f>O28*O22^2/19.62</f>
        <v>0.32619775739041795</v>
      </c>
      <c r="P29" s="12" t="s">
        <v>7</v>
      </c>
      <c r="Q29" s="16">
        <f>Q28*Q22^2/19.62</f>
        <v>0.32619775739041795</v>
      </c>
      <c r="R29" s="12" t="s">
        <v>7</v>
      </c>
    </row>
    <row r="30" spans="1:18">
      <c r="A30" s="12" t="s">
        <v>108</v>
      </c>
      <c r="B30" s="16">
        <f>B27+B29</f>
        <v>0.91325044955368262</v>
      </c>
      <c r="C30" s="12" t="s">
        <v>7</v>
      </c>
      <c r="D30" s="23">
        <f>D27+D29</f>
        <v>0.73246012050204712</v>
      </c>
      <c r="E30" s="12" t="s">
        <v>7</v>
      </c>
      <c r="F30" s="16">
        <f>F27+F29</f>
        <v>0.49906662036648264</v>
      </c>
      <c r="G30" s="12" t="s">
        <v>7</v>
      </c>
      <c r="H30" s="16">
        <f>H27+H29</f>
        <v>0.18689848420972233</v>
      </c>
      <c r="I30" s="12" t="s">
        <v>7</v>
      </c>
      <c r="J30" s="16">
        <f>J27+J29</f>
        <v>9.4667103508352349E-2</v>
      </c>
      <c r="K30" s="12" t="s">
        <v>7</v>
      </c>
      <c r="M30" s="16">
        <f>M27+M29</f>
        <v>0.73246012050204712</v>
      </c>
      <c r="N30" s="12" t="s">
        <v>7</v>
      </c>
      <c r="O30" s="16">
        <f>O27+O29</f>
        <v>0.73246012050204712</v>
      </c>
      <c r="P30" s="12" t="s">
        <v>7</v>
      </c>
      <c r="Q30" s="16">
        <f>Q27+Q29</f>
        <v>0.73246012050204712</v>
      </c>
      <c r="R30" s="12" t="s">
        <v>7</v>
      </c>
    </row>
    <row r="31" spans="1:18">
      <c r="D31" s="20"/>
      <c r="M31" s="26"/>
      <c r="O31" s="26"/>
      <c r="Q31" s="26"/>
    </row>
    <row r="32" spans="1:18">
      <c r="A32" s="11" t="s">
        <v>99</v>
      </c>
      <c r="D32" s="20"/>
      <c r="M32" s="26"/>
      <c r="O32" s="26"/>
      <c r="Q32" s="26"/>
    </row>
    <row r="33" spans="1:18">
      <c r="A33" s="12" t="s">
        <v>77</v>
      </c>
      <c r="B33" s="12">
        <v>3</v>
      </c>
      <c r="C33" s="12" t="s">
        <v>12</v>
      </c>
      <c r="D33" s="20">
        <v>3</v>
      </c>
      <c r="E33" s="12" t="s">
        <v>12</v>
      </c>
      <c r="F33" s="12">
        <v>3</v>
      </c>
      <c r="G33" s="12" t="s">
        <v>12</v>
      </c>
      <c r="H33" s="12">
        <v>3</v>
      </c>
      <c r="I33" s="12" t="s">
        <v>12</v>
      </c>
      <c r="J33" s="12">
        <v>3</v>
      </c>
      <c r="K33" s="12" t="s">
        <v>12</v>
      </c>
      <c r="M33" s="26">
        <v>3</v>
      </c>
      <c r="N33" s="12" t="s">
        <v>12</v>
      </c>
      <c r="O33" s="26">
        <v>3</v>
      </c>
      <c r="P33" s="12" t="s">
        <v>12</v>
      </c>
      <c r="Q33" s="26">
        <v>3</v>
      </c>
      <c r="R33" s="12" t="s">
        <v>12</v>
      </c>
    </row>
    <row r="34" spans="1:18">
      <c r="A34" s="12" t="s">
        <v>78</v>
      </c>
      <c r="B34" s="12">
        <v>4</v>
      </c>
      <c r="C34" s="12" t="s">
        <v>36</v>
      </c>
      <c r="D34" s="20">
        <v>4</v>
      </c>
      <c r="E34" s="12" t="s">
        <v>36</v>
      </c>
      <c r="F34" s="12">
        <v>4</v>
      </c>
      <c r="G34" s="12" t="s">
        <v>36</v>
      </c>
      <c r="H34" s="12">
        <v>4</v>
      </c>
      <c r="I34" s="12" t="s">
        <v>36</v>
      </c>
      <c r="J34" s="12">
        <v>4</v>
      </c>
      <c r="K34" s="12" t="s">
        <v>36</v>
      </c>
      <c r="M34" s="26">
        <v>4</v>
      </c>
      <c r="N34" s="12" t="s">
        <v>36</v>
      </c>
      <c r="O34" s="26">
        <v>4</v>
      </c>
      <c r="P34" s="12" t="s">
        <v>36</v>
      </c>
      <c r="Q34" s="26">
        <v>4</v>
      </c>
      <c r="R34" s="12" t="s">
        <v>36</v>
      </c>
    </row>
    <row r="35" spans="1:18">
      <c r="A35" s="12" t="s">
        <v>90</v>
      </c>
      <c r="B35" s="12">
        <f>B33/B34</f>
        <v>0.75</v>
      </c>
      <c r="C35" s="12" t="s">
        <v>0</v>
      </c>
      <c r="D35" s="20">
        <f>D33/D34</f>
        <v>0.75</v>
      </c>
      <c r="E35" s="12" t="s">
        <v>0</v>
      </c>
      <c r="F35" s="12">
        <f>F33/F34</f>
        <v>0.75</v>
      </c>
      <c r="G35" s="12" t="s">
        <v>0</v>
      </c>
      <c r="H35" s="12">
        <f>H33/H34</f>
        <v>0.75</v>
      </c>
      <c r="I35" s="12" t="s">
        <v>0</v>
      </c>
      <c r="J35" s="12">
        <f>J33/J34</f>
        <v>0.75</v>
      </c>
      <c r="K35" s="12" t="s">
        <v>0</v>
      </c>
      <c r="M35" s="26">
        <f>M33/M34</f>
        <v>0.75</v>
      </c>
      <c r="N35" s="12" t="s">
        <v>0</v>
      </c>
      <c r="O35" s="26">
        <f>O33/O34</f>
        <v>0.75</v>
      </c>
      <c r="P35" s="12" t="s">
        <v>0</v>
      </c>
      <c r="Q35" s="26">
        <f>Q33/Q34</f>
        <v>0.75</v>
      </c>
      <c r="R35" s="12" t="s">
        <v>0</v>
      </c>
    </row>
    <row r="36" spans="1:18">
      <c r="A36" s="12" t="s">
        <v>61</v>
      </c>
      <c r="B36" s="16">
        <f>B6/B35</f>
        <v>0.46666666666666662</v>
      </c>
      <c r="C36" s="16" t="s">
        <v>36</v>
      </c>
      <c r="D36" s="23">
        <f>D6/D35</f>
        <v>0.39999999999999997</v>
      </c>
      <c r="E36" s="16" t="s">
        <v>36</v>
      </c>
      <c r="F36" s="16">
        <f>F6/F35</f>
        <v>0.33333333333333331</v>
      </c>
      <c r="G36" s="16" t="s">
        <v>36</v>
      </c>
      <c r="H36" s="16">
        <f>H6/H35</f>
        <v>0.19999999999999998</v>
      </c>
      <c r="I36" s="16" t="s">
        <v>36</v>
      </c>
      <c r="J36" s="16">
        <f>J6/J35</f>
        <v>0.13333333333333333</v>
      </c>
      <c r="K36" s="12" t="s">
        <v>36</v>
      </c>
      <c r="M36" s="29">
        <f>M6/M35</f>
        <v>0.39999999999999997</v>
      </c>
      <c r="N36" s="16" t="s">
        <v>36</v>
      </c>
      <c r="O36" s="29">
        <f>O6/O35</f>
        <v>0.39999999999999997</v>
      </c>
      <c r="P36" s="16" t="s">
        <v>36</v>
      </c>
      <c r="Q36" s="29">
        <f>Q6/Q35</f>
        <v>0.39999999999999997</v>
      </c>
      <c r="R36" s="16" t="s">
        <v>36</v>
      </c>
    </row>
    <row r="37" spans="1:18">
      <c r="A37" s="12" t="s">
        <v>95</v>
      </c>
      <c r="B37" s="16">
        <f>B36^0.5</f>
        <v>0.68313005106397318</v>
      </c>
      <c r="C37" s="16" t="s">
        <v>7</v>
      </c>
      <c r="D37" s="23">
        <f>D36^0.5</f>
        <v>0.63245553203367588</v>
      </c>
      <c r="E37" s="16" t="s">
        <v>7</v>
      </c>
      <c r="F37" s="16">
        <f>F36^0.5</f>
        <v>0.57735026918962573</v>
      </c>
      <c r="G37" s="16" t="s">
        <v>7</v>
      </c>
      <c r="H37" s="16">
        <f>H36^0.5</f>
        <v>0.44721359549995793</v>
      </c>
      <c r="I37" s="16" t="s">
        <v>7</v>
      </c>
      <c r="J37" s="16">
        <f>J36^0.5</f>
        <v>0.36514837167011072</v>
      </c>
      <c r="K37" s="12" t="s">
        <v>7</v>
      </c>
      <c r="M37" s="29">
        <f>M36^0.5</f>
        <v>0.63245553203367588</v>
      </c>
      <c r="N37" s="16" t="s">
        <v>7</v>
      </c>
      <c r="O37" s="29">
        <f>O36^0.5</f>
        <v>0.63245553203367588</v>
      </c>
      <c r="P37" s="16" t="s">
        <v>7</v>
      </c>
      <c r="Q37" s="29">
        <f>Q36^0.5</f>
        <v>0.63245553203367588</v>
      </c>
      <c r="R37" s="16" t="s">
        <v>7</v>
      </c>
    </row>
    <row r="38" spans="1:18">
      <c r="B38" s="16"/>
      <c r="C38" s="16"/>
      <c r="D38" s="23"/>
      <c r="E38" s="16"/>
      <c r="F38" s="16"/>
      <c r="G38" s="16"/>
      <c r="H38" s="16"/>
      <c r="I38" s="16"/>
      <c r="J38" s="16"/>
      <c r="M38" s="29"/>
      <c r="N38" s="16"/>
      <c r="O38" s="29"/>
      <c r="P38" s="16"/>
      <c r="Q38" s="29"/>
      <c r="R38" s="16"/>
    </row>
    <row r="39" spans="1:18">
      <c r="A39" s="11" t="s">
        <v>103</v>
      </c>
      <c r="B39" s="16"/>
      <c r="C39" s="16"/>
      <c r="D39" s="23"/>
      <c r="E39" s="16"/>
      <c r="F39" s="16"/>
      <c r="G39" s="16"/>
      <c r="H39" s="16"/>
      <c r="I39" s="16"/>
      <c r="J39" s="16"/>
      <c r="M39" s="29"/>
      <c r="N39" s="16"/>
      <c r="O39" s="29"/>
      <c r="P39" s="16"/>
      <c r="Q39" s="29"/>
      <c r="R39" s="16"/>
    </row>
    <row r="40" spans="1:18">
      <c r="A40" s="12" t="s">
        <v>32</v>
      </c>
      <c r="B40" s="14">
        <f>B6/B7</f>
        <v>4.3749999999999997E-2</v>
      </c>
      <c r="C40" s="16" t="s">
        <v>36</v>
      </c>
      <c r="D40" s="21">
        <f>D6/D7</f>
        <v>3.7499999999999999E-2</v>
      </c>
      <c r="E40" s="16" t="s">
        <v>36</v>
      </c>
      <c r="F40" s="14">
        <f>F6/F7</f>
        <v>3.125E-2</v>
      </c>
      <c r="G40" s="16" t="s">
        <v>36</v>
      </c>
      <c r="H40" s="14">
        <f>H6/H7</f>
        <v>1.8749999999999999E-2</v>
      </c>
      <c r="I40" s="16" t="s">
        <v>36</v>
      </c>
      <c r="J40" s="14">
        <f>J6/J7</f>
        <v>1.2500000000000001E-2</v>
      </c>
      <c r="K40" s="16" t="s">
        <v>36</v>
      </c>
      <c r="M40" s="14">
        <f>M6/M7</f>
        <v>3.7499999999999999E-2</v>
      </c>
      <c r="N40" s="16" t="s">
        <v>36</v>
      </c>
      <c r="O40" s="14">
        <f>O6/O7</f>
        <v>3.3333333333333333E-2</v>
      </c>
      <c r="P40" s="16" t="s">
        <v>36</v>
      </c>
      <c r="Q40" s="14">
        <f>Q6/Q7</f>
        <v>0.03</v>
      </c>
      <c r="R40" s="16" t="s">
        <v>36</v>
      </c>
    </row>
    <row r="41" spans="1:18">
      <c r="A41" s="12" t="s">
        <v>102</v>
      </c>
      <c r="B41" s="14">
        <f>(B40*4/3.14)^0.5</f>
        <v>0.23607728411779291</v>
      </c>
      <c r="C41" s="16" t="s">
        <v>7</v>
      </c>
      <c r="D41" s="21">
        <f>(D40*4/3.14)^0.5</f>
        <v>0.21856509473596802</v>
      </c>
      <c r="E41" s="16" t="s">
        <v>7</v>
      </c>
      <c r="F41" s="14">
        <f>(F40*4/3.14)^0.5</f>
        <v>0.19952172111690553</v>
      </c>
      <c r="G41" s="16" t="s">
        <v>7</v>
      </c>
      <c r="H41" s="14">
        <f>(H40*4/3.14)^0.5</f>
        <v>0.15454886061848316</v>
      </c>
      <c r="I41" s="16" t="s">
        <v>7</v>
      </c>
      <c r="J41" s="14">
        <f>(J40*4/3.14)^0.5</f>
        <v>0.12618861628126718</v>
      </c>
      <c r="K41" s="16" t="s">
        <v>7</v>
      </c>
      <c r="M41" s="14">
        <f>(M40*4/3.14)^0.5</f>
        <v>0.21856509473596802</v>
      </c>
      <c r="N41" s="16" t="s">
        <v>7</v>
      </c>
      <c r="O41" s="14">
        <f>(O40*4/3.14)^0.5</f>
        <v>0.20606514749131088</v>
      </c>
      <c r="P41" s="16" t="s">
        <v>7</v>
      </c>
      <c r="Q41" s="14">
        <f>(Q40*4/3.14)^0.5</f>
        <v>0.19549056373532236</v>
      </c>
      <c r="R41" s="16" t="s">
        <v>7</v>
      </c>
    </row>
    <row r="42" spans="1:18">
      <c r="B42" s="16"/>
      <c r="C42" s="16"/>
      <c r="D42" s="23"/>
      <c r="E42" s="16"/>
      <c r="F42" s="16"/>
      <c r="G42" s="16"/>
      <c r="H42" s="16"/>
      <c r="I42" s="16"/>
      <c r="J42" s="16"/>
      <c r="M42" s="29"/>
      <c r="N42" s="16"/>
      <c r="O42" s="29"/>
      <c r="P42" s="16"/>
      <c r="Q42" s="29"/>
      <c r="R42" s="16"/>
    </row>
    <row r="43" spans="1:18">
      <c r="A43" s="11" t="s">
        <v>24</v>
      </c>
      <c r="D43" s="20"/>
      <c r="M43" s="26"/>
      <c r="O43" s="26"/>
      <c r="Q43" s="26"/>
    </row>
    <row r="44" spans="1:18">
      <c r="A44" s="12" t="s">
        <v>97</v>
      </c>
      <c r="B44" s="16">
        <f>B3-B30</f>
        <v>4.0867495504463172</v>
      </c>
      <c r="C44" s="12" t="s">
        <v>7</v>
      </c>
      <c r="D44" s="16">
        <f>D3-D30</f>
        <v>4.2675398794979529</v>
      </c>
      <c r="E44" s="12" t="s">
        <v>7</v>
      </c>
      <c r="F44" s="16">
        <f>F3-F30</f>
        <v>4.5009333796335174</v>
      </c>
      <c r="G44" s="12" t="s">
        <v>7</v>
      </c>
      <c r="H44" s="16">
        <f>H3-H30</f>
        <v>4.8131015157902777</v>
      </c>
      <c r="I44" s="12" t="s">
        <v>7</v>
      </c>
      <c r="J44" s="16">
        <f>J3-J30</f>
        <v>4.9053328964916476</v>
      </c>
      <c r="K44" s="12" t="s">
        <v>7</v>
      </c>
      <c r="M44" s="16">
        <f>M3-M30</f>
        <v>4.2675398794979529</v>
      </c>
      <c r="N44" s="12" t="s">
        <v>7</v>
      </c>
      <c r="O44" s="16">
        <f>O3-O30</f>
        <v>4.2675398794979529</v>
      </c>
      <c r="P44" s="12" t="s">
        <v>7</v>
      </c>
      <c r="Q44" s="16">
        <f>Q3-Q30</f>
        <v>4.2675398794979529</v>
      </c>
      <c r="R44" s="12" t="s">
        <v>7</v>
      </c>
    </row>
    <row r="45" spans="1:18">
      <c r="A45" s="12" t="s">
        <v>25</v>
      </c>
      <c r="B45" s="15">
        <f>1000*B44*B6*9.81</f>
        <v>14031.85458145743</v>
      </c>
      <c r="C45" s="15" t="s">
        <v>13</v>
      </c>
      <c r="D45" s="22">
        <f>1000*D44*D6*9.81</f>
        <v>12559.369865362476</v>
      </c>
      <c r="E45" s="15" t="s">
        <v>13</v>
      </c>
      <c r="F45" s="15">
        <f>1000*F44*F6*9.81</f>
        <v>11038.539113551202</v>
      </c>
      <c r="G45" s="15" t="s">
        <v>13</v>
      </c>
      <c r="H45" s="15">
        <f>1000*H44*H6*9.81</f>
        <v>7082.4788804853933</v>
      </c>
      <c r="I45" s="15" t="s">
        <v>13</v>
      </c>
      <c r="J45" s="15">
        <f>1000*J44*J6*9.81</f>
        <v>4812.131571458307</v>
      </c>
      <c r="K45" s="12" t="s">
        <v>13</v>
      </c>
      <c r="M45" s="28">
        <f>1000*M44*M6*9.81</f>
        <v>12559.369865362476</v>
      </c>
      <c r="N45" s="15" t="s">
        <v>13</v>
      </c>
      <c r="O45" s="28">
        <f>1000*O44*O6*9.81</f>
        <v>12559.369865362476</v>
      </c>
      <c r="P45" s="15" t="s">
        <v>13</v>
      </c>
      <c r="Q45" s="28">
        <f>1000*Q44*Q6*9.81</f>
        <v>12559.369865362476</v>
      </c>
      <c r="R45" s="15" t="s">
        <v>13</v>
      </c>
    </row>
    <row r="46" spans="1:18">
      <c r="A46" s="12" t="s">
        <v>26</v>
      </c>
      <c r="B46" s="15">
        <f>1000*B6*(B7*B15)^2*0.5</f>
        <v>9628.3028818964467</v>
      </c>
      <c r="C46" s="15" t="s">
        <v>13</v>
      </c>
      <c r="D46" s="22">
        <f>1000*D6*(D7*D15)^2*0.5</f>
        <v>8252.8310416255263</v>
      </c>
      <c r="E46" s="15" t="s">
        <v>13</v>
      </c>
      <c r="F46" s="15">
        <f>1000*F6*(F7*F15)^2*0.5</f>
        <v>6877.3592013546049</v>
      </c>
      <c r="G46" s="15" t="s">
        <v>13</v>
      </c>
      <c r="H46" s="15">
        <f>1000*H6*(H7*H15)^2*0.5</f>
        <v>4126.4155208127631</v>
      </c>
      <c r="I46" s="15" t="s">
        <v>13</v>
      </c>
      <c r="J46" s="15">
        <f>1000*J6*(J7*J15)^2*0.5</f>
        <v>2750.9436805418422</v>
      </c>
      <c r="K46" s="12" t="s">
        <v>13</v>
      </c>
      <c r="M46" s="28">
        <f>1000*M6*(M7*M15)^2*0.5</f>
        <v>8252.8310416255263</v>
      </c>
      <c r="N46" s="15" t="s">
        <v>13</v>
      </c>
      <c r="O46" s="28">
        <f>1000*O6*(O7*O15)^2*0.5</f>
        <v>10444.989287057308</v>
      </c>
      <c r="P46" s="15" t="s">
        <v>13</v>
      </c>
      <c r="Q46" s="28">
        <f>1000*Q6*(Q7*Q15)^2*0.5</f>
        <v>12895.048502539883</v>
      </c>
      <c r="R46" s="15" t="s">
        <v>13</v>
      </c>
    </row>
    <row r="47" spans="1:18">
      <c r="A47" s="12" t="s">
        <v>27</v>
      </c>
      <c r="B47" s="16">
        <f>B46/B45</f>
        <v>0.68617464826209706</v>
      </c>
      <c r="D47" s="23">
        <f>D46/D45</f>
        <v>0.65710550211488183</v>
      </c>
      <c r="F47" s="16">
        <f>F46/F45</f>
        <v>0.6230316467250433</v>
      </c>
      <c r="H47" s="16">
        <f>H46/H45</f>
        <v>0.58262306043473322</v>
      </c>
      <c r="J47" s="16">
        <f>J46/J45</f>
        <v>0.57166842587144273</v>
      </c>
      <c r="M47" s="29">
        <f>M46/M45</f>
        <v>0.65710550211488183</v>
      </c>
      <c r="O47" s="42">
        <f>O46/O45</f>
        <v>0.8316491511141475</v>
      </c>
      <c r="Q47" s="42">
        <f>Q46/Q45</f>
        <v>1.0267273470545029</v>
      </c>
    </row>
    <row r="48" spans="1:18">
      <c r="D48" s="20"/>
      <c r="M48" s="26"/>
      <c r="O48" s="26"/>
      <c r="Q48" s="26"/>
    </row>
    <row r="49" spans="1:18">
      <c r="A49" s="11" t="s">
        <v>73</v>
      </c>
      <c r="D49" s="20"/>
      <c r="M49" s="26"/>
      <c r="O49" s="26"/>
      <c r="Q49" s="26"/>
    </row>
    <row r="50" spans="1:18">
      <c r="A50" s="12" t="s">
        <v>6</v>
      </c>
      <c r="B50" s="14">
        <f>B7*B15/B10</f>
        <v>0.28347022305226621</v>
      </c>
      <c r="C50" s="14" t="s">
        <v>7</v>
      </c>
      <c r="D50" s="21">
        <f>D7*D15/D10</f>
        <v>0.28347022305226621</v>
      </c>
      <c r="E50" s="14" t="s">
        <v>7</v>
      </c>
      <c r="F50" s="14">
        <f>F7*F15/F10</f>
        <v>0.28347022305226621</v>
      </c>
      <c r="G50" s="14" t="s">
        <v>7</v>
      </c>
      <c r="H50" s="14">
        <f>H7*H15/H10</f>
        <v>0.28347022305226621</v>
      </c>
      <c r="I50" s="14" t="s">
        <v>7</v>
      </c>
      <c r="J50" s="14">
        <f>J7*J15/J10</f>
        <v>0.28347022305226621</v>
      </c>
      <c r="K50" s="12" t="s">
        <v>7</v>
      </c>
      <c r="M50" s="27">
        <f>M7*M15/M10</f>
        <v>0.28347022305226621</v>
      </c>
      <c r="N50" s="14" t="s">
        <v>7</v>
      </c>
      <c r="O50" s="27">
        <f>O7*O15/O10</f>
        <v>0.3189040009337995</v>
      </c>
      <c r="P50" s="14" t="s">
        <v>7</v>
      </c>
      <c r="Q50" s="27">
        <f>Q7*Q15/Q10</f>
        <v>0.35433777881533274</v>
      </c>
      <c r="R50" s="14" t="s">
        <v>7</v>
      </c>
    </row>
    <row r="51" spans="1:18">
      <c r="A51" s="12" t="s">
        <v>42</v>
      </c>
      <c r="B51" s="14">
        <f>B50*B18</f>
        <v>0.19275975167554105</v>
      </c>
      <c r="C51" s="14" t="s">
        <v>7</v>
      </c>
      <c r="D51" s="21">
        <f>D50*D18</f>
        <v>0.19275975167554105</v>
      </c>
      <c r="E51" s="14" t="s">
        <v>7</v>
      </c>
      <c r="F51" s="14">
        <f>F50*F18</f>
        <v>0.19275975167554105</v>
      </c>
      <c r="G51" s="14" t="s">
        <v>7</v>
      </c>
      <c r="H51" s="14">
        <f>H50*H18</f>
        <v>0.19275975167554105</v>
      </c>
      <c r="I51" s="14" t="s">
        <v>7</v>
      </c>
      <c r="J51" s="14">
        <f>J50*J18</f>
        <v>0.19275975167554105</v>
      </c>
      <c r="K51" s="12" t="s">
        <v>7</v>
      </c>
      <c r="M51" s="27">
        <f>M50*M18</f>
        <v>0.19275975167554105</v>
      </c>
      <c r="N51" s="14" t="s">
        <v>7</v>
      </c>
      <c r="O51" s="27">
        <f>O50*O18</f>
        <v>0.21685472063498368</v>
      </c>
      <c r="P51" s="14" t="s">
        <v>7</v>
      </c>
      <c r="Q51" s="27">
        <f>Q50*Q18</f>
        <v>0.24094968959442628</v>
      </c>
      <c r="R51" s="14" t="s">
        <v>7</v>
      </c>
    </row>
    <row r="52" spans="1:18">
      <c r="A52" s="12" t="s">
        <v>41</v>
      </c>
      <c r="B52" s="14">
        <f>ATAN((B7*B14)/(B7*B15-B10*B50/2))</f>
        <v>0.67963172346888079</v>
      </c>
      <c r="C52" s="14" t="s">
        <v>39</v>
      </c>
      <c r="D52" s="21">
        <f>ATAN((D7*D14)/(D7*D15-D10*D50/2))</f>
        <v>0.67963172346888079</v>
      </c>
      <c r="E52" s="14" t="s">
        <v>39</v>
      </c>
      <c r="F52" s="14">
        <f>ATAN((F7*F14)/(F7*F15-F10*F50/2))</f>
        <v>0.67963172346888079</v>
      </c>
      <c r="G52" s="14" t="s">
        <v>39</v>
      </c>
      <c r="H52" s="14">
        <f>ATAN((H7*H14)/(H7*H15-H10*H50/2))</f>
        <v>0.67963172346888079</v>
      </c>
      <c r="I52" s="14" t="s">
        <v>39</v>
      </c>
      <c r="J52" s="14">
        <f>ATAN((J7*J14)/(J7*J15-J10*J50/2))</f>
        <v>0.67963172346888079</v>
      </c>
      <c r="K52" s="12" t="s">
        <v>39</v>
      </c>
      <c r="M52" s="27">
        <f>ATAN((M7*M14)/(M7*M15-M10*M50/2))</f>
        <v>0.67963172346888079</v>
      </c>
      <c r="N52" s="14" t="s">
        <v>39</v>
      </c>
      <c r="O52" s="27">
        <f>ATAN((O7*O14)/(O7*O15-O10*O50/2))</f>
        <v>0.67963172346888068</v>
      </c>
      <c r="P52" s="14" t="s">
        <v>39</v>
      </c>
      <c r="Q52" s="27">
        <f>ATAN((Q7*Q14)/(Q7*Q15-Q10*Q50/2))</f>
        <v>0.67963172346888079</v>
      </c>
      <c r="R52" s="14" t="s">
        <v>39</v>
      </c>
    </row>
    <row r="53" spans="1:18">
      <c r="A53" s="12" t="s">
        <v>41</v>
      </c>
      <c r="B53" s="16">
        <f>DEGREES(B52)</f>
        <v>38.940029377969132</v>
      </c>
      <c r="C53" s="12" t="s">
        <v>4</v>
      </c>
      <c r="D53" s="23">
        <f>DEGREES(D52)</f>
        <v>38.940029377969132</v>
      </c>
      <c r="E53" s="12" t="s">
        <v>4</v>
      </c>
      <c r="F53" s="16">
        <f>DEGREES(F52)</f>
        <v>38.940029377969132</v>
      </c>
      <c r="G53" s="12" t="s">
        <v>4</v>
      </c>
      <c r="H53" s="16">
        <f>DEGREES(H52)</f>
        <v>38.940029377969132</v>
      </c>
      <c r="I53" s="12" t="s">
        <v>4</v>
      </c>
      <c r="J53" s="16">
        <f>DEGREES(J52)</f>
        <v>38.940029377969132</v>
      </c>
      <c r="K53" s="12" t="s">
        <v>4</v>
      </c>
      <c r="M53" s="29">
        <f>DEGREES(M52)</f>
        <v>38.940029377969132</v>
      </c>
      <c r="N53" s="12" t="s">
        <v>4</v>
      </c>
      <c r="O53" s="29">
        <f>DEGREES(O52)</f>
        <v>38.940029377969125</v>
      </c>
      <c r="P53" s="12" t="s">
        <v>4</v>
      </c>
      <c r="Q53" s="29">
        <f>DEGREES(Q52)</f>
        <v>38.940029377969132</v>
      </c>
      <c r="R53" s="12" t="s">
        <v>4</v>
      </c>
    </row>
    <row r="54" spans="1:18">
      <c r="A54" s="12" t="s">
        <v>43</v>
      </c>
      <c r="B54" s="17">
        <f>COS(RADIANS(B53))</f>
        <v>0.77780423572920931</v>
      </c>
      <c r="C54" s="17"/>
      <c r="D54" s="24">
        <f>COS(RADIANS(D53))</f>
        <v>0.77780423572920931</v>
      </c>
      <c r="E54" s="17"/>
      <c r="F54" s="17">
        <f>COS(RADIANS(F53))</f>
        <v>0.77780423572920931</v>
      </c>
      <c r="G54" s="17"/>
      <c r="H54" s="17">
        <f>COS(RADIANS(H53))</f>
        <v>0.77780423572920931</v>
      </c>
      <c r="I54" s="17"/>
      <c r="J54" s="17">
        <f>COS(RADIANS(J53))</f>
        <v>0.77780423572920931</v>
      </c>
      <c r="M54" s="30">
        <f>COS(RADIANS(M53))</f>
        <v>0.77780423572920931</v>
      </c>
      <c r="N54" s="17"/>
      <c r="O54" s="30">
        <f>COS(RADIANS(O53))</f>
        <v>0.77780423572920943</v>
      </c>
      <c r="P54" s="17"/>
      <c r="Q54" s="30">
        <f>COS(RADIANS(Q53))</f>
        <v>0.77780423572920931</v>
      </c>
      <c r="R54" s="17"/>
    </row>
    <row r="55" spans="1:18">
      <c r="A55" s="12" t="s">
        <v>44</v>
      </c>
      <c r="B55" s="17">
        <f>SIN(RADIANS(B53))</f>
        <v>0.6285066196005421</v>
      </c>
      <c r="C55" s="17"/>
      <c r="D55" s="24">
        <f>SIN(RADIANS(D53))</f>
        <v>0.6285066196005421</v>
      </c>
      <c r="E55" s="17"/>
      <c r="F55" s="17">
        <f>SIN(RADIANS(F53))</f>
        <v>0.6285066196005421</v>
      </c>
      <c r="G55" s="17"/>
      <c r="H55" s="17">
        <f>SIN(RADIANS(H53))</f>
        <v>0.6285066196005421</v>
      </c>
      <c r="I55" s="17"/>
      <c r="J55" s="17">
        <f>SIN(RADIANS(J53))</f>
        <v>0.6285066196005421</v>
      </c>
      <c r="M55" s="30">
        <f>SIN(RADIANS(M53))</f>
        <v>0.6285066196005421</v>
      </c>
      <c r="N55" s="17"/>
      <c r="O55" s="30">
        <f>SIN(RADIANS(O53))</f>
        <v>0.62850661960054199</v>
      </c>
      <c r="P55" s="17"/>
      <c r="Q55" s="30">
        <f>SIN(RADIANS(Q53))</f>
        <v>0.6285066196005421</v>
      </c>
      <c r="R55" s="17"/>
    </row>
    <row r="56" spans="1:18">
      <c r="B56" s="18"/>
      <c r="D56" s="23"/>
      <c r="M56" s="29"/>
      <c r="O56" s="29"/>
      <c r="Q56" s="29"/>
    </row>
    <row r="57" spans="1:18">
      <c r="A57" s="11" t="s">
        <v>23</v>
      </c>
      <c r="B57" s="18"/>
      <c r="D57" s="23"/>
      <c r="M57" s="29"/>
      <c r="O57" s="29"/>
      <c r="Q57" s="29"/>
    </row>
    <row r="58" spans="1:18">
      <c r="A58" s="12" t="s">
        <v>9</v>
      </c>
      <c r="B58" s="18">
        <f>B7*B14*B17*B50/2</f>
        <v>0.6672102828194576</v>
      </c>
      <c r="C58" s="12" t="s">
        <v>96</v>
      </c>
      <c r="D58" s="25">
        <f>D7*D14*D17*D50/2</f>
        <v>0.6672102828194576</v>
      </c>
      <c r="E58" s="12" t="s">
        <v>96</v>
      </c>
      <c r="F58" s="18">
        <f>F7*F14*F17*F50/2</f>
        <v>0.6672102828194576</v>
      </c>
      <c r="G58" s="12" t="s">
        <v>96</v>
      </c>
      <c r="H58" s="18">
        <f>H7*H14*H17*H50/2</f>
        <v>0.6672102828194576</v>
      </c>
      <c r="I58" s="12" t="s">
        <v>96</v>
      </c>
      <c r="J58" s="18">
        <f>J7*J14*J17*J50/2</f>
        <v>0.6672102828194576</v>
      </c>
      <c r="K58" s="12" t="s">
        <v>96</v>
      </c>
      <c r="M58" s="31">
        <f>M7*M14*M17*M50/2</f>
        <v>0.6672102828194576</v>
      </c>
      <c r="N58" s="12" t="s">
        <v>96</v>
      </c>
      <c r="O58" s="31">
        <f>O7*O14*O17*O50/2</f>
        <v>0.84443801419337616</v>
      </c>
      <c r="P58" s="12" t="s">
        <v>96</v>
      </c>
      <c r="Q58" s="31">
        <f>Q7*Q14*Q17*Q50/2</f>
        <v>1.0425160669054025</v>
      </c>
      <c r="R58" s="12" t="s">
        <v>96</v>
      </c>
    </row>
    <row r="59" spans="1:18">
      <c r="A59" s="12" t="s">
        <v>10</v>
      </c>
      <c r="B59" s="14">
        <f>B58/B7</f>
        <v>8.34012853524322E-2</v>
      </c>
      <c r="C59" s="14" t="s">
        <v>7</v>
      </c>
      <c r="D59" s="21">
        <f>D58/D7</f>
        <v>8.34012853524322E-2</v>
      </c>
      <c r="E59" s="14" t="s">
        <v>7</v>
      </c>
      <c r="F59" s="14">
        <f>F58/F7</f>
        <v>8.34012853524322E-2</v>
      </c>
      <c r="G59" s="14" t="s">
        <v>7</v>
      </c>
      <c r="H59" s="14">
        <f>H58/H7</f>
        <v>8.34012853524322E-2</v>
      </c>
      <c r="I59" s="14" t="s">
        <v>7</v>
      </c>
      <c r="J59" s="14">
        <f>J58/J7</f>
        <v>8.34012853524322E-2</v>
      </c>
      <c r="K59" s="12" t="s">
        <v>7</v>
      </c>
      <c r="M59" s="27">
        <f>M58/M7</f>
        <v>8.34012853524322E-2</v>
      </c>
      <c r="N59" s="14" t="s">
        <v>7</v>
      </c>
      <c r="O59" s="27">
        <f>O58/O7</f>
        <v>9.3826446021486237E-2</v>
      </c>
      <c r="P59" s="14" t="s">
        <v>7</v>
      </c>
      <c r="Q59" s="27">
        <f>Q58/Q7</f>
        <v>0.10425160669054026</v>
      </c>
      <c r="R59" s="14" t="s">
        <v>7</v>
      </c>
    </row>
    <row r="60" spans="1:18">
      <c r="A60" s="12" t="s">
        <v>11</v>
      </c>
      <c r="B60" s="14">
        <f>B6/B58</f>
        <v>0.52457225107651329</v>
      </c>
      <c r="C60" s="14" t="s">
        <v>7</v>
      </c>
      <c r="D60" s="21">
        <f>D6/D58</f>
        <v>0.44963335806558286</v>
      </c>
      <c r="E60" s="14" t="s">
        <v>7</v>
      </c>
      <c r="F60" s="14">
        <f>F6/F58</f>
        <v>0.37469446505465243</v>
      </c>
      <c r="G60" s="14" t="s">
        <v>7</v>
      </c>
      <c r="H60" s="14">
        <f>H6/H58</f>
        <v>0.22481667903279143</v>
      </c>
      <c r="I60" s="14" t="s">
        <v>7</v>
      </c>
      <c r="J60" s="14">
        <f>J6/J58</f>
        <v>0.14987778602186097</v>
      </c>
      <c r="K60" s="12" t="s">
        <v>7</v>
      </c>
      <c r="M60" s="27">
        <f>M6/M58</f>
        <v>0.44963335806558286</v>
      </c>
      <c r="N60" s="14" t="s">
        <v>7</v>
      </c>
      <c r="O60" s="27">
        <f>O6/O58</f>
        <v>0.35526586316292963</v>
      </c>
      <c r="P60" s="14" t="s">
        <v>7</v>
      </c>
      <c r="Q60" s="27">
        <f>Q6/Q58</f>
        <v>0.28776534916197299</v>
      </c>
      <c r="R60" s="14" t="s">
        <v>7</v>
      </c>
    </row>
    <row r="61" spans="1:18">
      <c r="A61" s="12" t="s">
        <v>101</v>
      </c>
      <c r="B61" s="14">
        <f>B59*B60</f>
        <v>4.3749999999999997E-2</v>
      </c>
      <c r="C61" s="14" t="s">
        <v>7</v>
      </c>
      <c r="D61" s="21">
        <f>D59*D60</f>
        <v>3.7499999999999999E-2</v>
      </c>
      <c r="E61" s="14" t="s">
        <v>7</v>
      </c>
      <c r="F61" s="14">
        <f>F59*F60</f>
        <v>3.125E-2</v>
      </c>
      <c r="G61" s="14" t="s">
        <v>7</v>
      </c>
      <c r="H61" s="14">
        <f>H59*H60</f>
        <v>1.8749999999999999E-2</v>
      </c>
      <c r="I61" s="14" t="s">
        <v>7</v>
      </c>
      <c r="J61" s="14">
        <f>J59*J60</f>
        <v>1.2500000000000001E-2</v>
      </c>
      <c r="K61" s="14" t="s">
        <v>7</v>
      </c>
      <c r="M61" s="14">
        <f>M59*M60</f>
        <v>3.7499999999999999E-2</v>
      </c>
      <c r="N61" s="14" t="s">
        <v>7</v>
      </c>
      <c r="O61" s="14">
        <f>O59*O60</f>
        <v>3.3333333333333333E-2</v>
      </c>
      <c r="P61" s="14" t="s">
        <v>7</v>
      </c>
      <c r="Q61" s="14">
        <f>Q59*Q60</f>
        <v>0.03</v>
      </c>
      <c r="R61" s="14" t="s">
        <v>7</v>
      </c>
    </row>
    <row r="62" spans="1:18">
      <c r="A62" s="12" t="s">
        <v>31</v>
      </c>
      <c r="B62" s="14">
        <f>B60*B19</f>
        <v>0.78685837661476987</v>
      </c>
      <c r="C62" s="14" t="s">
        <v>7</v>
      </c>
      <c r="D62" s="21">
        <f>D60*D19</f>
        <v>0.67445003709837426</v>
      </c>
      <c r="E62" s="14" t="s">
        <v>7</v>
      </c>
      <c r="F62" s="14">
        <f>F60*F19</f>
        <v>0.56204169758197864</v>
      </c>
      <c r="G62" s="14" t="s">
        <v>7</v>
      </c>
      <c r="H62" s="14">
        <f>H60*H19</f>
        <v>0.33722501854918713</v>
      </c>
      <c r="I62" s="14" t="s">
        <v>7</v>
      </c>
      <c r="J62" s="14">
        <f>J60*J19</f>
        <v>0.22481667903279146</v>
      </c>
      <c r="K62" s="12" t="s">
        <v>7</v>
      </c>
      <c r="M62" s="27">
        <f>M60*M19</f>
        <v>0.67445003709837426</v>
      </c>
      <c r="N62" s="14" t="s">
        <v>7</v>
      </c>
      <c r="O62" s="27">
        <f>O60*O19</f>
        <v>0.53289879474439439</v>
      </c>
      <c r="P62" s="14" t="s">
        <v>7</v>
      </c>
      <c r="Q62" s="27">
        <f>Q60*Q19</f>
        <v>0.43164802374295952</v>
      </c>
      <c r="R62" s="14" t="s">
        <v>7</v>
      </c>
    </row>
    <row r="63" spans="1:18">
      <c r="A63" s="12" t="s">
        <v>85</v>
      </c>
      <c r="B63" s="14">
        <f>(ATAN(B59*B14/(B59*B15+B50/2)))</f>
        <v>0.14166394915560782</v>
      </c>
      <c r="C63" s="14" t="s">
        <v>39</v>
      </c>
      <c r="D63" s="21">
        <f>(ATAN(D59*D14/(D59*D15+D50/2)))</f>
        <v>0.14166394915560782</v>
      </c>
      <c r="E63" s="14" t="s">
        <v>39</v>
      </c>
      <c r="F63" s="14">
        <f>(ATAN(F59*F14/(F59*F15+F50/2)))</f>
        <v>0.14166394915560782</v>
      </c>
      <c r="G63" s="14" t="s">
        <v>39</v>
      </c>
      <c r="H63" s="14">
        <f>(ATAN(H59*H14/(H59*H15+H50/2)))</f>
        <v>0.14166394915560782</v>
      </c>
      <c r="I63" s="14" t="s">
        <v>39</v>
      </c>
      <c r="J63" s="14">
        <f>(ATAN(J59*J14/(J59*J15+J50/2)))</f>
        <v>0.14166394915560782</v>
      </c>
      <c r="K63" s="12" t="s">
        <v>39</v>
      </c>
      <c r="M63" s="27">
        <f>(ATAN(M59*M14/(M59*M15+M50/2)))</f>
        <v>0.14166394915560782</v>
      </c>
      <c r="N63" s="14" t="s">
        <v>39</v>
      </c>
      <c r="O63" s="27">
        <f>(ATAN(O59*O14/(O59*O15+O50/2)))</f>
        <v>0.14166394915560784</v>
      </c>
      <c r="P63" s="14" t="s">
        <v>39</v>
      </c>
      <c r="Q63" s="27">
        <f>(ATAN(Q59*Q14/(Q59*Q15+Q50/2)))</f>
        <v>0.14166394915560782</v>
      </c>
      <c r="R63" s="14" t="s">
        <v>39</v>
      </c>
    </row>
    <row r="64" spans="1:18">
      <c r="B64" s="16">
        <f>DEGREES(B63)</f>
        <v>8.1167463957722106</v>
      </c>
      <c r="C64" s="12" t="s">
        <v>4</v>
      </c>
      <c r="D64" s="23">
        <f>DEGREES(D63)</f>
        <v>8.1167463957722106</v>
      </c>
      <c r="E64" s="12" t="s">
        <v>4</v>
      </c>
      <c r="F64" s="16">
        <f>DEGREES(F63)</f>
        <v>8.1167463957722106</v>
      </c>
      <c r="G64" s="12" t="s">
        <v>4</v>
      </c>
      <c r="H64" s="16">
        <f>DEGREES(H63)</f>
        <v>8.1167463957722106</v>
      </c>
      <c r="I64" s="12" t="s">
        <v>4</v>
      </c>
      <c r="J64" s="16">
        <f>DEGREES(J63)</f>
        <v>8.1167463957722106</v>
      </c>
      <c r="K64" s="12" t="s">
        <v>4</v>
      </c>
      <c r="M64" s="29">
        <f>DEGREES(M63)</f>
        <v>8.1167463957722106</v>
      </c>
      <c r="N64" s="12" t="s">
        <v>4</v>
      </c>
      <c r="O64" s="29">
        <f>DEGREES(O63)</f>
        <v>8.1167463957722124</v>
      </c>
      <c r="P64" s="12" t="s">
        <v>4</v>
      </c>
      <c r="Q64" s="29">
        <f>DEGREES(Q63)</f>
        <v>8.1167463957722106</v>
      </c>
      <c r="R64" s="12" t="s">
        <v>4</v>
      </c>
    </row>
    <row r="65" spans="1:18">
      <c r="A65" s="12" t="s">
        <v>38</v>
      </c>
      <c r="B65" s="14">
        <f>COS(B63)</f>
        <v>0.98998243285353715</v>
      </c>
      <c r="C65" s="14"/>
      <c r="D65" s="21">
        <f>COS(D63)</f>
        <v>0.98998243285353715</v>
      </c>
      <c r="E65" s="14"/>
      <c r="F65" s="14">
        <f>COS(F63)</f>
        <v>0.98998243285353715</v>
      </c>
      <c r="G65" s="14"/>
      <c r="H65" s="14">
        <f>COS(H63)</f>
        <v>0.98998243285353715</v>
      </c>
      <c r="I65" s="14"/>
      <c r="J65" s="14">
        <f>COS(J63)</f>
        <v>0.98998243285353715</v>
      </c>
      <c r="M65" s="27">
        <f>COS(M63)</f>
        <v>0.98998243285353715</v>
      </c>
      <c r="N65" s="14"/>
      <c r="O65" s="27">
        <f>COS(O63)</f>
        <v>0.98998243285353715</v>
      </c>
      <c r="P65" s="14"/>
      <c r="Q65" s="27">
        <f>COS(Q63)</f>
        <v>0.98998243285353715</v>
      </c>
      <c r="R65" s="14"/>
    </row>
    <row r="66" spans="1:18">
      <c r="A66" s="12" t="s">
        <v>37</v>
      </c>
      <c r="B66" s="14">
        <f>(1/(B17-B63))*((B59*B15+B50/2)/B65-B50/2)</f>
        <v>5.5659654057617573E-2</v>
      </c>
      <c r="C66" s="14"/>
      <c r="D66" s="21">
        <f>(1/(D17-D63))*((D59*D15+D50/2)/D65-D50/2)</f>
        <v>5.5659654057617573E-2</v>
      </c>
      <c r="E66" s="14"/>
      <c r="F66" s="14">
        <f>(1/(F17-F63))*((F59*F15+F50/2)/F65-F50/2)</f>
        <v>5.5659654057617573E-2</v>
      </c>
      <c r="G66" s="14"/>
      <c r="H66" s="14">
        <f>(1/(H17-H63))*((H59*H15+H50/2)/H65-H50/2)</f>
        <v>5.5659654057617573E-2</v>
      </c>
      <c r="I66" s="14"/>
      <c r="J66" s="14">
        <f>(1/(J17-J63))*((J59*J15+J50/2)/J65-J50/2)</f>
        <v>5.5659654057617573E-2</v>
      </c>
      <c r="M66" s="27">
        <f>(1/(M17-M63))*((M59*M15+M50/2)/M65-M50/2)</f>
        <v>5.5659654057617573E-2</v>
      </c>
      <c r="N66" s="14"/>
      <c r="O66" s="27">
        <f>(1/(O17-O63))*((O59*O15+O50/2)/O65-O50/2)</f>
        <v>6.2617110814819785E-2</v>
      </c>
      <c r="P66" s="14"/>
      <c r="Q66" s="27">
        <f>(1/(Q17-Q63))*((Q59*Q15+Q50/2)/Q65-Q50/2)</f>
        <v>6.9574567572021989E-2</v>
      </c>
      <c r="R66" s="14"/>
    </row>
    <row r="67" spans="1:18">
      <c r="A67" s="12" t="s">
        <v>40</v>
      </c>
      <c r="B67" s="14">
        <f>(B59*B15+B50/2)/B65</f>
        <v>0.22128012526807639</v>
      </c>
      <c r="C67" s="14" t="s">
        <v>7</v>
      </c>
      <c r="D67" s="21">
        <f>(D59*D15+D50/2)/D65</f>
        <v>0.22128012526807639</v>
      </c>
      <c r="E67" s="14" t="s">
        <v>7</v>
      </c>
      <c r="F67" s="14">
        <f>(F59*F15+F50/2)/F65</f>
        <v>0.22128012526807639</v>
      </c>
      <c r="G67" s="14" t="s">
        <v>7</v>
      </c>
      <c r="H67" s="14">
        <f>(H59*H15+H50/2)/H65</f>
        <v>0.22128012526807639</v>
      </c>
      <c r="I67" s="14" t="s">
        <v>7</v>
      </c>
      <c r="J67" s="14">
        <f>(J59*J15+J50/2)/J65</f>
        <v>0.22128012526807639</v>
      </c>
      <c r="K67" s="12" t="s">
        <v>7</v>
      </c>
      <c r="M67" s="27">
        <f>(M59*M15+M50/2)/M65</f>
        <v>0.22128012526807639</v>
      </c>
      <c r="N67" s="14" t="s">
        <v>7</v>
      </c>
      <c r="O67" s="27">
        <f>(O59*O15+O50/2)/O65</f>
        <v>0.24894014092658598</v>
      </c>
      <c r="P67" s="14" t="s">
        <v>7</v>
      </c>
      <c r="Q67" s="27">
        <f>(Q59*Q15+Q50/2)/Q65</f>
        <v>0.27660015658509551</v>
      </c>
      <c r="R67" s="14" t="s">
        <v>7</v>
      </c>
    </row>
    <row r="68" spans="1:18">
      <c r="D68" s="23"/>
      <c r="M68" s="29"/>
      <c r="O68" s="29"/>
      <c r="Q68" s="29"/>
    </row>
    <row r="69" spans="1:18">
      <c r="A69" s="11" t="s">
        <v>83</v>
      </c>
      <c r="D69" s="23"/>
      <c r="M69" s="29"/>
      <c r="O69" s="29"/>
      <c r="Q69" s="29"/>
    </row>
    <row r="70" spans="1:18">
      <c r="A70" s="12" t="s">
        <v>74</v>
      </c>
      <c r="B70" s="14">
        <f>(B50/4)*(1-B18^2)/B54</f>
        <v>4.8981988305201819E-2</v>
      </c>
      <c r="C70" s="14" t="s">
        <v>7</v>
      </c>
      <c r="D70" s="21">
        <f>(D50/4)*(1-D18^2)/D54</f>
        <v>4.8981988305201819E-2</v>
      </c>
      <c r="E70" s="14" t="s">
        <v>7</v>
      </c>
      <c r="F70" s="14">
        <f>(F50/4)*(1-F18^2)/F54</f>
        <v>4.8981988305201819E-2</v>
      </c>
      <c r="G70" s="14" t="s">
        <v>7</v>
      </c>
      <c r="H70" s="14">
        <f>(H50/4)*(1-H18^2)/H54</f>
        <v>4.8981988305201819E-2</v>
      </c>
      <c r="I70" s="14" t="s">
        <v>7</v>
      </c>
      <c r="J70" s="14">
        <f>(J50/4)*(1-J18^2)/J54</f>
        <v>4.8981988305201819E-2</v>
      </c>
      <c r="K70" s="12" t="s">
        <v>7</v>
      </c>
      <c r="M70" s="27">
        <f>(M50/4)*(1-M18^2)/M54</f>
        <v>4.8981988305201819E-2</v>
      </c>
      <c r="N70" s="14" t="s">
        <v>7</v>
      </c>
      <c r="O70" s="27">
        <f>(O50/4)*(1-O18^2)/O54</f>
        <v>5.5104736843352035E-2</v>
      </c>
      <c r="P70" s="14" t="s">
        <v>7</v>
      </c>
      <c r="Q70" s="27">
        <f>(Q50/4)*(1-Q18^2)/Q54</f>
        <v>6.1227485381502272E-2</v>
      </c>
      <c r="R70" s="14" t="s">
        <v>7</v>
      </c>
    </row>
    <row r="71" spans="1:18">
      <c r="A71" s="12" t="s">
        <v>75</v>
      </c>
      <c r="B71" s="14">
        <f>ATAN((B54/B55))</f>
        <v>0.89116460332601588</v>
      </c>
      <c r="C71" s="14" t="s">
        <v>39</v>
      </c>
      <c r="D71" s="21">
        <f>ATAN((D54/D55))</f>
        <v>0.89116460332601588</v>
      </c>
      <c r="E71" s="14" t="s">
        <v>39</v>
      </c>
      <c r="F71" s="14">
        <f>ATAN((F54/F55))</f>
        <v>0.89116460332601588</v>
      </c>
      <c r="G71" s="14" t="s">
        <v>39</v>
      </c>
      <c r="H71" s="14">
        <f>ATAN((H54/H55))</f>
        <v>0.89116460332601588</v>
      </c>
      <c r="I71" s="14" t="s">
        <v>39</v>
      </c>
      <c r="J71" s="14">
        <f>ATAN((J54/J55))</f>
        <v>0.89116460332601588</v>
      </c>
      <c r="K71" s="12" t="s">
        <v>39</v>
      </c>
      <c r="M71" s="27">
        <f>ATAN((M54/M55))</f>
        <v>0.89116460332601588</v>
      </c>
      <c r="N71" s="14" t="s">
        <v>39</v>
      </c>
      <c r="O71" s="27">
        <f>ATAN((O54/O55))</f>
        <v>0.89116460332601599</v>
      </c>
      <c r="P71" s="14" t="s">
        <v>39</v>
      </c>
      <c r="Q71" s="27">
        <f>ATAN((Q54/Q55))</f>
        <v>0.89116460332601588</v>
      </c>
      <c r="R71" s="14" t="s">
        <v>39</v>
      </c>
    </row>
    <row r="72" spans="1:18">
      <c r="B72" s="16">
        <f>DEGREES(B71)</f>
        <v>51.059970622030875</v>
      </c>
      <c r="C72" s="12" t="s">
        <v>4</v>
      </c>
      <c r="D72" s="23">
        <f>DEGREES(D71)</f>
        <v>51.059970622030875</v>
      </c>
      <c r="E72" s="12" t="s">
        <v>4</v>
      </c>
      <c r="F72" s="16">
        <f>DEGREES(F71)</f>
        <v>51.059970622030875</v>
      </c>
      <c r="G72" s="12" t="s">
        <v>4</v>
      </c>
      <c r="H72" s="16">
        <f>DEGREES(H71)</f>
        <v>51.059970622030875</v>
      </c>
      <c r="I72" s="12" t="s">
        <v>4</v>
      </c>
      <c r="J72" s="16">
        <f>DEGREES(J71)</f>
        <v>51.059970622030875</v>
      </c>
      <c r="K72" s="12" t="s">
        <v>4</v>
      </c>
      <c r="M72" s="29">
        <f>DEGREES(M71)</f>
        <v>51.059970622030875</v>
      </c>
      <c r="N72" s="12" t="s">
        <v>4</v>
      </c>
      <c r="O72" s="29">
        <f>DEGREES(O71)</f>
        <v>51.059970622030882</v>
      </c>
      <c r="P72" s="12" t="s">
        <v>4</v>
      </c>
      <c r="Q72" s="29">
        <f>DEGREES(Q71)</f>
        <v>51.059970622030875</v>
      </c>
      <c r="R72" s="12" t="s">
        <v>4</v>
      </c>
    </row>
    <row r="73" spans="1:18">
      <c r="J73" s="19"/>
    </row>
    <row r="74" spans="1:18">
      <c r="J74" s="19"/>
    </row>
    <row r="75" spans="1:18">
      <c r="B75" s="19"/>
      <c r="C75" s="19"/>
      <c r="D75" s="19"/>
      <c r="E75" s="19"/>
      <c r="F75" s="19"/>
      <c r="G75" s="19"/>
      <c r="H75" s="19"/>
      <c r="I75" s="19"/>
      <c r="J75" s="19"/>
    </row>
    <row r="76" spans="1:18">
      <c r="A76" s="19"/>
      <c r="B76" s="19"/>
      <c r="C76" s="19"/>
      <c r="D76" s="19"/>
      <c r="E76" s="19"/>
      <c r="F76" s="19"/>
      <c r="G76" s="19"/>
      <c r="H76" s="19"/>
      <c r="I76" s="19"/>
      <c r="J76" s="19"/>
    </row>
  </sheetData>
  <mergeCells count="1">
    <mergeCell ref="M2:R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2"/>
  <sheetViews>
    <sheetView workbookViewId="0">
      <selection activeCell="V51" sqref="V51"/>
    </sheetView>
  </sheetViews>
  <sheetFormatPr defaultRowHeight="18"/>
  <cols>
    <col min="1" max="1" width="19.6640625" style="1" customWidth="1"/>
    <col min="2" max="2" width="9.6640625" style="1" customWidth="1"/>
    <col min="3" max="3" width="8.109375" style="1" customWidth="1"/>
    <col min="4" max="4" width="15.77734375" style="1" bestFit="1" customWidth="1"/>
    <col min="5" max="5" width="10.33203125" style="1" bestFit="1" customWidth="1"/>
    <col min="6" max="6" width="13.21875" style="1" customWidth="1"/>
    <col min="7" max="7" width="7.88671875" style="1" customWidth="1"/>
    <col min="8" max="8" width="6.33203125" style="1" customWidth="1"/>
    <col min="9" max="9" width="9" style="1" bestFit="1" customWidth="1"/>
    <col min="10" max="16384" width="8.88671875" style="1"/>
  </cols>
  <sheetData>
    <row r="1" spans="1:7">
      <c r="A1" s="3" t="s">
        <v>28</v>
      </c>
    </row>
    <row r="2" spans="1:7" ht="6.6" customHeight="1">
      <c r="A2" s="3"/>
    </row>
    <row r="3" spans="1:7">
      <c r="A3" s="4" t="s">
        <v>60</v>
      </c>
      <c r="B3" s="4">
        <v>5</v>
      </c>
      <c r="C3" s="4" t="s">
        <v>7</v>
      </c>
      <c r="D3" s="4"/>
      <c r="E3" s="4"/>
      <c r="F3" s="4"/>
    </row>
    <row r="4" spans="1:7">
      <c r="A4" s="4" t="s">
        <v>48</v>
      </c>
      <c r="B4" s="4">
        <v>10</v>
      </c>
      <c r="C4" s="4" t="s">
        <v>7</v>
      </c>
      <c r="D4" s="4" t="s">
        <v>58</v>
      </c>
      <c r="E4" s="4"/>
      <c r="F4" s="4"/>
    </row>
    <row r="5" spans="1:7">
      <c r="A5" s="4" t="s">
        <v>49</v>
      </c>
      <c r="B5" s="4">
        <v>0.1</v>
      </c>
      <c r="C5" s="4" t="s">
        <v>7</v>
      </c>
      <c r="D5" s="4" t="s">
        <v>51</v>
      </c>
      <c r="E5" s="4">
        <f>10/1000000</f>
        <v>1.0000000000000001E-5</v>
      </c>
      <c r="F5" s="4"/>
    </row>
    <row r="6" spans="1:7">
      <c r="A6" s="4" t="s">
        <v>34</v>
      </c>
      <c r="B6" s="4">
        <v>0.25</v>
      </c>
      <c r="C6" s="4" t="s">
        <v>12</v>
      </c>
      <c r="D6" s="4"/>
      <c r="E6" s="4"/>
      <c r="F6" s="4"/>
    </row>
    <row r="7" spans="1:7">
      <c r="A7" s="4" t="s">
        <v>55</v>
      </c>
      <c r="B7" s="4">
        <v>8</v>
      </c>
      <c r="C7" s="4" t="s">
        <v>0</v>
      </c>
      <c r="D7" s="4" t="s">
        <v>47</v>
      </c>
      <c r="E7" s="4"/>
      <c r="F7" s="4"/>
    </row>
    <row r="8" spans="1:7">
      <c r="A8" s="4" t="s">
        <v>45</v>
      </c>
      <c r="B8" s="4">
        <v>12</v>
      </c>
      <c r="C8" s="4"/>
      <c r="D8" s="4" t="s">
        <v>46</v>
      </c>
      <c r="E8" s="4"/>
      <c r="F8" s="4"/>
    </row>
    <row r="9" spans="1:7">
      <c r="A9" s="4" t="s">
        <v>35</v>
      </c>
      <c r="B9" s="4">
        <f>60*50/B8</f>
        <v>250</v>
      </c>
      <c r="C9" s="4" t="s">
        <v>1</v>
      </c>
      <c r="D9" s="4"/>
      <c r="E9" s="4"/>
      <c r="F9" s="4"/>
    </row>
    <row r="10" spans="1:7">
      <c r="A10" s="5" t="s">
        <v>16</v>
      </c>
      <c r="B10" s="6">
        <f>2*3.14*B9/60</f>
        <v>26.166666666666668</v>
      </c>
      <c r="C10" s="4" t="s">
        <v>2</v>
      </c>
      <c r="D10" s="4"/>
      <c r="E10" s="4"/>
      <c r="F10" s="4"/>
    </row>
    <row r="11" spans="1:7">
      <c r="A11" s="4" t="s">
        <v>3</v>
      </c>
      <c r="B11" s="4">
        <v>0.98</v>
      </c>
      <c r="C11" s="4"/>
      <c r="D11" s="4"/>
      <c r="E11" s="4"/>
      <c r="F11" s="4"/>
    </row>
    <row r="12" spans="1:7">
      <c r="A12" s="5" t="s">
        <v>17</v>
      </c>
      <c r="B12" s="4">
        <v>0.98</v>
      </c>
      <c r="C12" s="4"/>
      <c r="D12" s="10" t="s">
        <v>20</v>
      </c>
      <c r="E12" s="4">
        <f>SIN(RADIANS(B13))</f>
        <v>0.37460659341591201</v>
      </c>
      <c r="F12" s="4"/>
    </row>
    <row r="13" spans="1:7">
      <c r="A13" s="5" t="s">
        <v>18</v>
      </c>
      <c r="B13" s="4">
        <v>22</v>
      </c>
      <c r="C13" s="4" t="s">
        <v>4</v>
      </c>
      <c r="D13" s="10" t="s">
        <v>19</v>
      </c>
      <c r="E13" s="4">
        <f>COS(RADIANS(B13))</f>
        <v>0.92718385456678742</v>
      </c>
      <c r="F13" s="4"/>
    </row>
    <row r="14" spans="1:7">
      <c r="A14" s="5" t="s">
        <v>29</v>
      </c>
      <c r="B14" s="4">
        <v>90</v>
      </c>
      <c r="C14" s="4" t="s">
        <v>4</v>
      </c>
      <c r="D14" s="6">
        <f>RADIANS(B14)</f>
        <v>1.5707963267948966</v>
      </c>
      <c r="E14" s="4" t="s">
        <v>39</v>
      </c>
      <c r="F14" s="4"/>
      <c r="G14" s="7"/>
    </row>
    <row r="15" spans="1:7">
      <c r="A15" s="4" t="s">
        <v>5</v>
      </c>
      <c r="B15" s="4">
        <v>0.68</v>
      </c>
      <c r="C15" s="4"/>
      <c r="D15" s="4"/>
      <c r="E15" s="4"/>
      <c r="F15" s="4"/>
    </row>
    <row r="16" spans="1:7">
      <c r="A16" s="4" t="s">
        <v>30</v>
      </c>
      <c r="B16" s="4">
        <v>1.5</v>
      </c>
      <c r="C16" s="4"/>
      <c r="D16" s="4" t="s">
        <v>86</v>
      </c>
      <c r="E16" s="4"/>
      <c r="F16" s="4"/>
    </row>
    <row r="18" spans="1:8">
      <c r="A18" s="3" t="s">
        <v>71</v>
      </c>
    </row>
    <row r="19" spans="1:8">
      <c r="A19" s="1" t="s">
        <v>64</v>
      </c>
      <c r="D19" s="1">
        <v>3</v>
      </c>
      <c r="E19" s="1" t="s">
        <v>0</v>
      </c>
      <c r="F19" s="1" t="s">
        <v>87</v>
      </c>
    </row>
    <row r="20" spans="1:8">
      <c r="A20" s="1" t="s">
        <v>56</v>
      </c>
      <c r="B20" s="1">
        <f>((B6/D19)*4/3.14)^0.5</f>
        <v>0.32581760622553729</v>
      </c>
      <c r="C20" s="1" t="s">
        <v>7</v>
      </c>
      <c r="D20" s="1" t="s">
        <v>57</v>
      </c>
      <c r="F20" s="1" t="s">
        <v>72</v>
      </c>
      <c r="G20" s="1">
        <f>3.14*B20^2/4</f>
        <v>8.3333333333333343E-2</v>
      </c>
      <c r="H20" s="1" t="s">
        <v>36</v>
      </c>
    </row>
    <row r="21" spans="1:8">
      <c r="A21" s="1" t="s">
        <v>52</v>
      </c>
      <c r="B21" s="1">
        <f>B20*D19/(1.1/1000000)</f>
        <v>888593.47152419249</v>
      </c>
      <c r="C21" s="1" t="s">
        <v>7</v>
      </c>
    </row>
    <row r="22" spans="1:8">
      <c r="A22" s="1" t="s">
        <v>50</v>
      </c>
      <c r="B22" s="1">
        <f>0.11*(E5/B20+68/B21)^(1/4)</f>
        <v>1.1193323485424022E-2</v>
      </c>
    </row>
    <row r="23" spans="1:8">
      <c r="A23" s="1" t="s">
        <v>54</v>
      </c>
      <c r="B23" s="1">
        <f>B22*B4/B20*D19^2/19.62</f>
        <v>0.15758976677214054</v>
      </c>
      <c r="C23" s="1" t="s">
        <v>7</v>
      </c>
    </row>
    <row r="25" spans="1:8">
      <c r="A25" s="1" t="s">
        <v>65</v>
      </c>
    </row>
    <row r="26" spans="1:8">
      <c r="A26" s="1" t="s">
        <v>66</v>
      </c>
      <c r="B26" s="1">
        <f>B3*9810</f>
        <v>49050</v>
      </c>
      <c r="C26" s="1" t="s">
        <v>67</v>
      </c>
      <c r="D26" s="1">
        <f>B26/100000</f>
        <v>0.49049999999999999</v>
      </c>
      <c r="E26" s="1" t="s">
        <v>69</v>
      </c>
      <c r="F26" s="1" t="s">
        <v>68</v>
      </c>
    </row>
    <row r="27" spans="1:8">
      <c r="A27" s="1" t="s">
        <v>70</v>
      </c>
    </row>
    <row r="29" spans="1:8">
      <c r="A29" s="1" t="s">
        <v>89</v>
      </c>
      <c r="G29" s="1">
        <v>10</v>
      </c>
      <c r="H29" s="1" t="s">
        <v>88</v>
      </c>
    </row>
    <row r="30" spans="1:8">
      <c r="A30" s="1" t="s">
        <v>53</v>
      </c>
      <c r="B30" s="2">
        <f>(B6/G29)/(3.14*B5^2/4)</f>
        <v>3.1847133757961781</v>
      </c>
      <c r="C30" s="1" t="s">
        <v>0</v>
      </c>
    </row>
    <row r="31" spans="1:8">
      <c r="A31" s="1" t="s">
        <v>52</v>
      </c>
      <c r="B31" s="1">
        <f>B30*B5/(1.1/1000000)</f>
        <v>289519.39779965254</v>
      </c>
      <c r="C31" s="1" t="s">
        <v>7</v>
      </c>
    </row>
    <row r="32" spans="1:8">
      <c r="A32" s="1" t="s">
        <v>50</v>
      </c>
      <c r="B32" s="1">
        <f>0.11*(E5/B5+68/B31)^(1/4)</f>
        <v>1.4880324226990588E-2</v>
      </c>
    </row>
    <row r="33" spans="1:10">
      <c r="A33" s="1" t="s">
        <v>54</v>
      </c>
      <c r="B33" s="1">
        <f>B32*B4/B5*B30^2/19.62</f>
        <v>0.76922624778240123</v>
      </c>
      <c r="C33" s="1" t="s">
        <v>7</v>
      </c>
    </row>
    <row r="35" spans="1:10">
      <c r="A35" s="1" t="s">
        <v>76</v>
      </c>
    </row>
    <row r="36" spans="1:10">
      <c r="A36" s="1" t="s">
        <v>77</v>
      </c>
      <c r="B36" s="1">
        <v>3</v>
      </c>
      <c r="C36" s="1" t="s">
        <v>12</v>
      </c>
      <c r="D36" s="1" t="s">
        <v>61</v>
      </c>
      <c r="E36" s="1">
        <f>B6/B38</f>
        <v>0.33333333333333331</v>
      </c>
      <c r="F36" s="1" t="s">
        <v>36</v>
      </c>
    </row>
    <row r="37" spans="1:10">
      <c r="A37" s="1" t="s">
        <v>78</v>
      </c>
      <c r="B37" s="1">
        <v>4</v>
      </c>
      <c r="C37" s="1" t="s">
        <v>36</v>
      </c>
      <c r="D37" s="1" t="s">
        <v>62</v>
      </c>
      <c r="E37" s="1">
        <f>E36^0.5</f>
        <v>0.57735026918962573</v>
      </c>
      <c r="F37" s="1" t="s">
        <v>7</v>
      </c>
    </row>
    <row r="38" spans="1:10">
      <c r="A38" s="1" t="s">
        <v>79</v>
      </c>
      <c r="B38" s="1">
        <f>B36/B37</f>
        <v>0.75</v>
      </c>
      <c r="C38" s="1" t="s">
        <v>0</v>
      </c>
      <c r="D38" s="1" t="s">
        <v>63</v>
      </c>
    </row>
    <row r="40" spans="1:10">
      <c r="A40" s="1" t="s">
        <v>80</v>
      </c>
      <c r="D40" s="2">
        <f>B3-B33</f>
        <v>4.2307737522175985</v>
      </c>
      <c r="E40" s="1" t="s">
        <v>7</v>
      </c>
    </row>
    <row r="41" spans="1:10">
      <c r="A41" s="1" t="s">
        <v>59</v>
      </c>
      <c r="B41" s="1">
        <f>1000*B6*D40*9.81</f>
        <v>10375.97262731366</v>
      </c>
      <c r="C41" s="1" t="s">
        <v>13</v>
      </c>
      <c r="D41" s="2">
        <f>B41/1000</f>
        <v>10.37597262731366</v>
      </c>
      <c r="E41" s="1" t="s">
        <v>15</v>
      </c>
    </row>
    <row r="43" spans="1:10">
      <c r="A43" s="3" t="s">
        <v>73</v>
      </c>
      <c r="J43" s="8"/>
    </row>
    <row r="44" spans="1:10">
      <c r="A44" s="1" t="s">
        <v>6</v>
      </c>
      <c r="B44" s="9">
        <f>B7*E13/B10</f>
        <v>0.28347022305226621</v>
      </c>
      <c r="C44" s="1" t="s">
        <v>7</v>
      </c>
      <c r="D44" s="2">
        <f>B44*100</f>
        <v>28.34702230522662</v>
      </c>
      <c r="E44" s="1" t="s">
        <v>14</v>
      </c>
      <c r="J44" s="8"/>
    </row>
    <row r="45" spans="1:10">
      <c r="A45" s="1" t="s">
        <v>42</v>
      </c>
      <c r="B45" s="9">
        <f>B44*B15</f>
        <v>0.19275975167554105</v>
      </c>
      <c r="C45" s="1" t="s">
        <v>7</v>
      </c>
      <c r="D45" s="2">
        <f>B45*100</f>
        <v>19.275975167554105</v>
      </c>
      <c r="E45" s="1" t="s">
        <v>14</v>
      </c>
      <c r="J45" s="8"/>
    </row>
    <row r="46" spans="1:10">
      <c r="A46" s="1" t="s">
        <v>41</v>
      </c>
      <c r="B46" s="9">
        <f>ATAN((B7*E12)/(B7*E13-B10*B44/2))</f>
        <v>0.67963172346888079</v>
      </c>
      <c r="C46" s="1" t="s">
        <v>39</v>
      </c>
      <c r="D46" s="2">
        <f>DEGREES(B46)</f>
        <v>38.940029377969132</v>
      </c>
      <c r="E46" s="1" t="s">
        <v>4</v>
      </c>
      <c r="F46" s="1" t="s">
        <v>43</v>
      </c>
      <c r="G46" s="1">
        <f>COS(RADIANS(D46))</f>
        <v>0.77780423572920931</v>
      </c>
      <c r="J46" s="8"/>
    </row>
    <row r="47" spans="1:10">
      <c r="B47" s="9"/>
      <c r="D47" s="2"/>
      <c r="F47" s="1" t="s">
        <v>44</v>
      </c>
      <c r="G47" s="1">
        <f>SIN(RADIANS(D46))</f>
        <v>0.6285066196005421</v>
      </c>
      <c r="J47" s="8"/>
    </row>
    <row r="48" spans="1:10">
      <c r="A48" s="3" t="s">
        <v>22</v>
      </c>
      <c r="B48" s="9"/>
      <c r="D48" s="2"/>
      <c r="J48" s="8"/>
    </row>
    <row r="49" spans="1:10">
      <c r="A49" s="1" t="s">
        <v>9</v>
      </c>
      <c r="B49" s="9">
        <f>B7*E12*D14*B44/2</f>
        <v>0.6672102828194576</v>
      </c>
      <c r="C49" s="1" t="s">
        <v>21</v>
      </c>
      <c r="D49" s="2"/>
      <c r="J49" s="8"/>
    </row>
    <row r="50" spans="1:10">
      <c r="B50" s="9"/>
      <c r="D50" s="2"/>
      <c r="J50" s="8"/>
    </row>
    <row r="51" spans="1:10">
      <c r="A51" s="3" t="s">
        <v>23</v>
      </c>
      <c r="B51" s="9"/>
      <c r="D51" s="2"/>
      <c r="J51" s="8"/>
    </row>
    <row r="52" spans="1:10">
      <c r="A52" s="1" t="s">
        <v>10</v>
      </c>
      <c r="B52" s="9">
        <f>B49/B7</f>
        <v>8.34012853524322E-2</v>
      </c>
      <c r="C52" s="1" t="s">
        <v>7</v>
      </c>
      <c r="D52" s="2">
        <f>B52*1000</f>
        <v>83.401285352432197</v>
      </c>
      <c r="E52" s="1" t="s">
        <v>8</v>
      </c>
      <c r="F52" s="1" t="s">
        <v>32</v>
      </c>
      <c r="G52" s="1">
        <f>B52*B53</f>
        <v>3.125E-2</v>
      </c>
      <c r="H52" s="1" t="s">
        <v>36</v>
      </c>
      <c r="J52" s="8"/>
    </row>
    <row r="53" spans="1:10">
      <c r="A53" s="1" t="s">
        <v>11</v>
      </c>
      <c r="B53" s="9">
        <f>B6/B49</f>
        <v>0.37469446505465243</v>
      </c>
      <c r="C53" s="1" t="s">
        <v>7</v>
      </c>
      <c r="D53" s="2">
        <f>B53*1000</f>
        <v>374.69446505465243</v>
      </c>
      <c r="E53" s="1" t="s">
        <v>8</v>
      </c>
      <c r="F53" s="1" t="s">
        <v>33</v>
      </c>
      <c r="G53" s="1">
        <f>G52*B7</f>
        <v>0.25</v>
      </c>
      <c r="H53" s="1" t="s">
        <v>12</v>
      </c>
      <c r="J53" s="8"/>
    </row>
    <row r="54" spans="1:10">
      <c r="A54" s="1" t="s">
        <v>31</v>
      </c>
      <c r="B54" s="9">
        <f>B53*B16</f>
        <v>0.56204169758197864</v>
      </c>
      <c r="C54" s="1" t="s">
        <v>7</v>
      </c>
      <c r="D54" s="2">
        <f>B54*1000</f>
        <v>562.04169758197861</v>
      </c>
      <c r="E54" s="1" t="s">
        <v>8</v>
      </c>
      <c r="J54" s="8"/>
    </row>
    <row r="55" spans="1:10">
      <c r="A55" s="1" t="s">
        <v>85</v>
      </c>
      <c r="B55" s="9">
        <f>(ATAN(B52*E12/(B52*E13+B44/2)))</f>
        <v>0.14166394915560782</v>
      </c>
      <c r="C55" s="1" t="s">
        <v>39</v>
      </c>
      <c r="D55" s="2">
        <f>DEGREES(B55)</f>
        <v>8.1167463957722106</v>
      </c>
      <c r="E55" s="1" t="s">
        <v>4</v>
      </c>
      <c r="F55" s="1" t="s">
        <v>38</v>
      </c>
      <c r="G55" s="1">
        <f>COS(B55)</f>
        <v>0.98998243285353715</v>
      </c>
      <c r="J55" s="8"/>
    </row>
    <row r="56" spans="1:10">
      <c r="A56" s="1" t="s">
        <v>37</v>
      </c>
      <c r="B56" s="9">
        <f>(1/(D14-B55))*((B52*E13+B44/2)/G55-B44/2)</f>
        <v>5.5659654057617573E-2</v>
      </c>
      <c r="D56" s="2"/>
      <c r="J56" s="8"/>
    </row>
    <row r="57" spans="1:10">
      <c r="A57" s="1" t="s">
        <v>40</v>
      </c>
      <c r="B57" s="9">
        <f>(B52*E13+B44/2)/G55</f>
        <v>0.22128012526807639</v>
      </c>
      <c r="C57" s="1" t="s">
        <v>7</v>
      </c>
      <c r="D57" s="2">
        <f>B57*1000</f>
        <v>221.28012526807638</v>
      </c>
      <c r="E57" s="1" t="s">
        <v>8</v>
      </c>
      <c r="J57" s="8"/>
    </row>
    <row r="58" spans="1:10">
      <c r="D58" s="2"/>
      <c r="J58" s="8"/>
    </row>
    <row r="59" spans="1:10">
      <c r="A59" s="3" t="s">
        <v>24</v>
      </c>
      <c r="D59" s="2"/>
      <c r="J59" s="8"/>
    </row>
    <row r="60" spans="1:10">
      <c r="A60" s="1" t="s">
        <v>25</v>
      </c>
      <c r="B60" s="1">
        <f>1000*D40*B6*9.81</f>
        <v>10375.97262731366</v>
      </c>
      <c r="C60" s="1" t="s">
        <v>13</v>
      </c>
      <c r="D60" s="2">
        <f>B60/1000</f>
        <v>10.37597262731366</v>
      </c>
      <c r="E60" s="1" t="s">
        <v>15</v>
      </c>
      <c r="J60" s="8"/>
    </row>
    <row r="61" spans="1:10">
      <c r="A61" s="1" t="s">
        <v>26</v>
      </c>
      <c r="B61" s="1">
        <f>1000*B6*(B7*E13)^2*0.5</f>
        <v>6877.3592013546049</v>
      </c>
      <c r="C61" s="1" t="s">
        <v>13</v>
      </c>
      <c r="D61" s="2">
        <f>B61/1000</f>
        <v>6.8773592013546052</v>
      </c>
      <c r="E61" s="1" t="s">
        <v>15</v>
      </c>
      <c r="J61" s="8"/>
    </row>
    <row r="62" spans="1:10">
      <c r="D62" s="2"/>
      <c r="J62" s="8"/>
    </row>
    <row r="63" spans="1:10">
      <c r="A63" s="1" t="s">
        <v>27</v>
      </c>
      <c r="B63" s="2">
        <f>D61/D60</f>
        <v>0.66281585817320665</v>
      </c>
      <c r="D63" s="2"/>
      <c r="J63" s="8"/>
    </row>
    <row r="64" spans="1:10">
      <c r="D64" s="2"/>
      <c r="J64" s="8"/>
    </row>
    <row r="65" spans="1:10">
      <c r="A65" s="3" t="s">
        <v>83</v>
      </c>
      <c r="D65" s="2"/>
      <c r="J65" s="8"/>
    </row>
    <row r="66" spans="1:10">
      <c r="A66" s="1" t="s">
        <v>74</v>
      </c>
      <c r="B66" s="1">
        <f>(B44/4)*(1-B15^2)/G46</f>
        <v>4.8981988305201819E-2</v>
      </c>
      <c r="C66" s="1" t="s">
        <v>7</v>
      </c>
      <c r="D66" s="2">
        <f>B66*1000</f>
        <v>48.981988305201817</v>
      </c>
      <c r="E66" s="1" t="s">
        <v>8</v>
      </c>
      <c r="J66" s="8"/>
    </row>
    <row r="67" spans="1:10">
      <c r="A67" s="1" t="s">
        <v>75</v>
      </c>
      <c r="B67" s="1">
        <f>ATAN((G46/G47))</f>
        <v>0.89116460332601588</v>
      </c>
      <c r="C67" s="1" t="s">
        <v>39</v>
      </c>
      <c r="D67" s="2">
        <f>DEGREES(B67)</f>
        <v>51.059970622030875</v>
      </c>
      <c r="E67" s="1" t="s">
        <v>4</v>
      </c>
      <c r="J67" s="8"/>
    </row>
    <row r="68" spans="1:10">
      <c r="J68" s="8"/>
    </row>
    <row r="69" spans="1:10">
      <c r="A69" s="1" t="s">
        <v>81</v>
      </c>
      <c r="J69" s="8"/>
    </row>
    <row r="70" spans="1:10">
      <c r="A70" s="1" t="s">
        <v>82</v>
      </c>
      <c r="J70" s="8"/>
    </row>
    <row r="71" spans="1:10">
      <c r="A71" s="1" t="s">
        <v>84</v>
      </c>
      <c r="B71" s="8"/>
      <c r="C71" s="8"/>
      <c r="D71" s="8"/>
      <c r="E71" s="8"/>
      <c r="F71" s="8"/>
      <c r="G71" s="8"/>
      <c r="H71" s="8"/>
      <c r="I71" s="8"/>
      <c r="J71" s="8"/>
    </row>
    <row r="72" spans="1:10">
      <c r="A72" s="8"/>
      <c r="B72" s="8"/>
      <c r="C72" s="8"/>
      <c r="D72" s="8"/>
      <c r="E72" s="8"/>
      <c r="F72" s="8"/>
      <c r="G72" s="8"/>
      <c r="H72" s="8"/>
      <c r="I72" s="8"/>
      <c r="J72" s="8"/>
    </row>
  </sheetData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 (2)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admin</cp:lastModifiedBy>
  <dcterms:created xsi:type="dcterms:W3CDTF">2020-01-13T09:44:59Z</dcterms:created>
  <dcterms:modified xsi:type="dcterms:W3CDTF">2020-01-18T13:16:07Z</dcterms:modified>
</cp:coreProperties>
</file>