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23895" windowHeight="10500"/>
  </bookViews>
  <sheets>
    <sheet name="condominio classe D" sheetId="1" r:id="rId1"/>
    <sheet name="condominio classe G 1" sheetId="5" r:id="rId2"/>
    <sheet name="condominio classe G 2" sheetId="4" r:id="rId3"/>
  </sheets>
  <calcPr calcId="125725"/>
</workbook>
</file>

<file path=xl/calcChain.xml><?xml version="1.0" encoding="utf-8"?>
<calcChain xmlns="http://schemas.openxmlformats.org/spreadsheetml/2006/main">
  <c r="D39" i="4"/>
  <c r="D38"/>
  <c r="D35" i="5"/>
  <c r="D34"/>
  <c r="D35" i="1"/>
  <c r="D34"/>
  <c r="C42" i="5"/>
  <c r="H36"/>
  <c r="H27"/>
  <c r="H26"/>
  <c r="H29" s="1"/>
  <c r="H30" s="1"/>
  <c r="H35" s="1"/>
  <c r="M24"/>
  <c r="M25" s="1"/>
  <c r="M28" s="1"/>
  <c r="M31" s="1"/>
  <c r="D24"/>
  <c r="D25" s="1"/>
  <c r="D29" s="1"/>
  <c r="M29" s="1"/>
  <c r="M23"/>
  <c r="M35" s="1"/>
  <c r="M20"/>
  <c r="H19"/>
  <c r="D19"/>
  <c r="H22" s="1"/>
  <c r="H23" s="1"/>
  <c r="H24" s="1"/>
  <c r="H33" s="1"/>
  <c r="D10"/>
  <c r="M4"/>
  <c r="M19" s="1"/>
  <c r="M21" s="1"/>
  <c r="H42" s="1"/>
  <c r="H31" i="4"/>
  <c r="H39" s="1"/>
  <c r="H32"/>
  <c r="H30"/>
  <c r="H27"/>
  <c r="H29" s="1"/>
  <c r="H28"/>
  <c r="D26"/>
  <c r="H14"/>
  <c r="H19" s="1"/>
  <c r="H13"/>
  <c r="H26" s="1"/>
  <c r="C47"/>
  <c r="H41"/>
  <c r="D33"/>
  <c r="M33" s="1"/>
  <c r="D25"/>
  <c r="D24"/>
  <c r="M23"/>
  <c r="M40" s="1"/>
  <c r="M20"/>
  <c r="D19"/>
  <c r="D20" s="1"/>
  <c r="D22" s="1"/>
  <c r="D32" s="1"/>
  <c r="D35" s="1"/>
  <c r="D10"/>
  <c r="M4"/>
  <c r="M19" s="1"/>
  <c r="M21" s="1"/>
  <c r="H47" s="1"/>
  <c r="M35" i="1"/>
  <c r="M23"/>
  <c r="M20"/>
  <c r="M19"/>
  <c r="M21" s="1"/>
  <c r="H42" s="1"/>
  <c r="M4"/>
  <c r="C42"/>
  <c r="H36"/>
  <c r="H26"/>
  <c r="H27" s="1"/>
  <c r="H19"/>
  <c r="D24"/>
  <c r="D25" s="1"/>
  <c r="D29" s="1"/>
  <c r="M29" s="1"/>
  <c r="D19"/>
  <c r="D10"/>
  <c r="H37" i="5" l="1"/>
  <c r="D20"/>
  <c r="D22" s="1"/>
  <c r="D28" s="1"/>
  <c r="D31" s="1"/>
  <c r="H28"/>
  <c r="H34" s="1"/>
  <c r="M24" i="4"/>
  <c r="M25" s="1"/>
  <c r="M32" s="1"/>
  <c r="M35" s="1"/>
  <c r="H44" s="1"/>
  <c r="H48" s="1"/>
  <c r="H33"/>
  <c r="H34" s="1"/>
  <c r="H40" s="1"/>
  <c r="H38"/>
  <c r="H22"/>
  <c r="H23" s="1"/>
  <c r="H24" s="1"/>
  <c r="H37" s="1"/>
  <c r="H22" i="1"/>
  <c r="H23" s="1"/>
  <c r="H24" s="1"/>
  <c r="H33" s="1"/>
  <c r="H37" s="1"/>
  <c r="H29"/>
  <c r="H30" s="1"/>
  <c r="H35" s="1"/>
  <c r="H28"/>
  <c r="H34" s="1"/>
  <c r="D20"/>
  <c r="D22" s="1"/>
  <c r="D28" s="1"/>
  <c r="D31" s="1"/>
  <c r="M24"/>
  <c r="M25" s="1"/>
  <c r="M28" s="1"/>
  <c r="M31" s="1"/>
  <c r="H39" i="5" l="1"/>
  <c r="H43" s="1"/>
  <c r="D39"/>
  <c r="D43" s="1"/>
  <c r="E47" s="1"/>
  <c r="H42" i="4"/>
  <c r="D44" s="1"/>
  <c r="D48" s="1"/>
  <c r="E52" s="1"/>
  <c r="I53"/>
  <c r="I52"/>
  <c r="D39" i="1"/>
  <c r="D43" s="1"/>
  <c r="E47" s="1"/>
  <c r="H39"/>
  <c r="H43" s="1"/>
  <c r="I47" i="5" l="1"/>
  <c r="I48"/>
  <c r="I48" i="1"/>
  <c r="I47"/>
</calcChain>
</file>

<file path=xl/sharedStrings.xml><?xml version="1.0" encoding="utf-8"?>
<sst xmlns="http://schemas.openxmlformats.org/spreadsheetml/2006/main" count="470" uniqueCount="97">
  <si>
    <t>Costo metano al Kg</t>
  </si>
  <si>
    <t>€</t>
  </si>
  <si>
    <t>Costo elettrico alKwh</t>
  </si>
  <si>
    <t>Fabbisogno termico</t>
  </si>
  <si>
    <t>Fabbisogno elettrico</t>
  </si>
  <si>
    <t>Kw</t>
  </si>
  <si>
    <t>superficie riscaldata</t>
  </si>
  <si>
    <t>m2</t>
  </si>
  <si>
    <t>MJ / kg</t>
  </si>
  <si>
    <t>Kwh/ kg</t>
  </si>
  <si>
    <t>Kwh el</t>
  </si>
  <si>
    <t>Kwh t</t>
  </si>
  <si>
    <t>Costo</t>
  </si>
  <si>
    <t>massa CH4</t>
  </si>
  <si>
    <t>Caldaia</t>
  </si>
  <si>
    <t>Rendimento t. MCI</t>
  </si>
  <si>
    <t>Rendimento el. MCI</t>
  </si>
  <si>
    <t>Pot. Elettrica</t>
  </si>
  <si>
    <t>Pot. Termica</t>
  </si>
  <si>
    <t>Kg</t>
  </si>
  <si>
    <t>Q / Pci * rend cald.</t>
  </si>
  <si>
    <t>Rendimento cald.</t>
  </si>
  <si>
    <t>SPESA Annuale</t>
  </si>
  <si>
    <t>Riscaldamento</t>
  </si>
  <si>
    <t>Elettrico</t>
  </si>
  <si>
    <t>Manutenzione</t>
  </si>
  <si>
    <t>SOLO CALDAIA</t>
  </si>
  <si>
    <t>kWh t.</t>
  </si>
  <si>
    <t>Costo t. MCI</t>
  </si>
  <si>
    <t>Costo caldaia</t>
  </si>
  <si>
    <t>massa caldaia CH4</t>
  </si>
  <si>
    <t>massa MCI CH4</t>
  </si>
  <si>
    <t>costo MCI CH4</t>
  </si>
  <si>
    <t>Energia el. MCI</t>
  </si>
  <si>
    <t>Costo risparmiato</t>
  </si>
  <si>
    <t>SPESA annuale</t>
  </si>
  <si>
    <t>Termico caldaia</t>
  </si>
  <si>
    <t>Risparmio con MCI</t>
  </si>
  <si>
    <t>€/ anno</t>
  </si>
  <si>
    <t>Costo MCI</t>
  </si>
  <si>
    <t>Tempo di ritorno</t>
  </si>
  <si>
    <t>anni</t>
  </si>
  <si>
    <t>TOT.</t>
  </si>
  <si>
    <t>Elettrico Enel</t>
  </si>
  <si>
    <t>Costo MCI elet.</t>
  </si>
  <si>
    <t>Costo Enel</t>
  </si>
  <si>
    <t>costa 0 perché recuperato da gas scarico!</t>
  </si>
  <si>
    <t>Con cappotto termico</t>
  </si>
  <si>
    <t>Sup. cappotto</t>
  </si>
  <si>
    <t>Superficie tetto</t>
  </si>
  <si>
    <t>Costo cappotto</t>
  </si>
  <si>
    <t>€/m2</t>
  </si>
  <si>
    <t>Costo tetto</t>
  </si>
  <si>
    <t>Kwh/ m2 a</t>
  </si>
  <si>
    <t>Kwh / m2 a</t>
  </si>
  <si>
    <t>Kwh /a</t>
  </si>
  <si>
    <t>Costo CH4</t>
  </si>
  <si>
    <t>€ / anno</t>
  </si>
  <si>
    <t>Detrazione 50% costo MCI (in 10 anni)</t>
  </si>
  <si>
    <t>DURATA investimento</t>
  </si>
  <si>
    <t>CONFRONTO PRODUZIONE CALORE E ENERGIA ELETTRICA CON MCI NEL RESIDENZIALE E CAPPOTTO TERMICO</t>
  </si>
  <si>
    <t>Calore MCI (180 g 14h)</t>
  </si>
  <si>
    <t>Calore caldaia</t>
  </si>
  <si>
    <t>Risparmio con Cappotto</t>
  </si>
  <si>
    <t>Detrazione 65% costo CAPPOTTO (in 10 anni)</t>
  </si>
  <si>
    <t>MOTORE MCI per cogenerazione residenziale DACHS</t>
  </si>
  <si>
    <t xml:space="preserve">Base condominio 10 x 15 m </t>
  </si>
  <si>
    <t>Altezza 10 m</t>
  </si>
  <si>
    <t>Superfici vetrate di 50 m2</t>
  </si>
  <si>
    <t>CALDAIA + MCI</t>
  </si>
  <si>
    <t xml:space="preserve">NB: Col cappotto si può optare per una caldaia </t>
  </si>
  <si>
    <t>a condensazione che ha un rendimento del 96-98%</t>
  </si>
  <si>
    <t>Classe B con cappotto</t>
  </si>
  <si>
    <t>NB: per classe A serve ventilazione VMC</t>
  </si>
  <si>
    <t>Manutenz. Cald. + MCI</t>
  </si>
  <si>
    <t>Valutazione riferita a un piccolo condominio di 3 piani classe D asservito da una caldaia tradizionale da 50 Kw.</t>
  </si>
  <si>
    <t>RISPARMIO COMPLESSIVO 10 anni</t>
  </si>
  <si>
    <t>RISPARMIO COMPLESSIVO 20 anni</t>
  </si>
  <si>
    <t>Potenza Caldaia</t>
  </si>
  <si>
    <t>Potere calorifico Pci CH4</t>
  </si>
  <si>
    <t>Energia el. MCI al giorno</t>
  </si>
  <si>
    <t>Fabbisogno el. al giorno</t>
  </si>
  <si>
    <t>En. El. MCI usata</t>
  </si>
  <si>
    <t>En. El. MCI venduta</t>
  </si>
  <si>
    <t>Guadagno vendita Enel</t>
  </si>
  <si>
    <t>Prezzo acquisto Enel en.</t>
  </si>
  <si>
    <t>Vendita energia a Enel</t>
  </si>
  <si>
    <t>2 MOTORI MCI per cogenerazione residenziale DACHS</t>
  </si>
  <si>
    <t>NB: al giorno consumo</t>
  </si>
  <si>
    <t>Il MCI al giorno produce</t>
  </si>
  <si>
    <t>Quindi tutto quello che PRODUCE viene</t>
  </si>
  <si>
    <t>consumato e nulla viene venduto a Enel !!!</t>
  </si>
  <si>
    <t>Energia el. MCI ***</t>
  </si>
  <si>
    <t>*** NOTA BENE</t>
  </si>
  <si>
    <t>Quindi una parte di energia devo venderla</t>
  </si>
  <si>
    <t>all'ENEL che la paga POCO!!!</t>
  </si>
  <si>
    <t>€ / kwh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</si>
</sst>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" fontId="0" fillId="0" borderId="0" xfId="0" applyNumberFormat="1"/>
    <xf numFmtId="0" fontId="2" fillId="0" borderId="0" xfId="0" applyFont="1"/>
    <xf numFmtId="164" fontId="0" fillId="0" borderId="0" xfId="0" applyNumberFormat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" fontId="3" fillId="2" borderId="7" xfId="0" applyNumberFormat="1" applyFont="1" applyFill="1" applyBorder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1" fontId="0" fillId="3" borderId="0" xfId="0" applyNumberFormat="1" applyFill="1" applyBorder="1"/>
    <xf numFmtId="0" fontId="2" fillId="3" borderId="0" xfId="0" applyFont="1" applyFill="1" applyBorder="1"/>
    <xf numFmtId="0" fontId="0" fillId="3" borderId="6" xfId="0" applyFill="1" applyBorder="1"/>
    <xf numFmtId="0" fontId="3" fillId="3" borderId="7" xfId="0" applyFont="1" applyFill="1" applyBorder="1" applyAlignment="1">
      <alignment horizontal="right"/>
    </xf>
    <xf numFmtId="1" fontId="3" fillId="3" borderId="7" xfId="0" applyNumberFormat="1" applyFont="1" applyFill="1" applyBorder="1"/>
    <xf numFmtId="0" fontId="3" fillId="3" borderId="8" xfId="0" applyFont="1" applyFill="1" applyBorder="1"/>
    <xf numFmtId="0" fontId="2" fillId="3" borderId="4" xfId="0" applyFont="1" applyFill="1" applyBorder="1"/>
    <xf numFmtId="0" fontId="3" fillId="3" borderId="6" xfId="0" applyFont="1" applyFill="1" applyBorder="1" applyAlignment="1">
      <alignment horizontal="right"/>
    </xf>
    <xf numFmtId="2" fontId="0" fillId="3" borderId="0" xfId="0" applyNumberFormat="1" applyFill="1" applyBorder="1"/>
    <xf numFmtId="0" fontId="3" fillId="2" borderId="1" xfId="0" applyFont="1" applyFill="1" applyBorder="1"/>
    <xf numFmtId="0" fontId="3" fillId="2" borderId="2" xfId="0" applyFont="1" applyFill="1" applyBorder="1"/>
    <xf numFmtId="1" fontId="3" fillId="2" borderId="2" xfId="0" applyNumberFormat="1" applyFont="1" applyFill="1" applyBorder="1"/>
    <xf numFmtId="0" fontId="3" fillId="2" borderId="7" xfId="0" applyFont="1" applyFill="1" applyBorder="1"/>
    <xf numFmtId="164" fontId="0" fillId="3" borderId="0" xfId="0" applyNumberFormat="1" applyFill="1" applyBorder="1"/>
    <xf numFmtId="0" fontId="3" fillId="2" borderId="0" xfId="0" applyFont="1" applyFill="1" applyBorder="1"/>
    <xf numFmtId="1" fontId="3" fillId="2" borderId="0" xfId="0" applyNumberFormat="1" applyFont="1" applyFill="1" applyBorder="1"/>
    <xf numFmtId="0" fontId="3" fillId="2" borderId="4" xfId="0" applyFont="1" applyFill="1" applyBorder="1"/>
    <xf numFmtId="0" fontId="0" fillId="0" borderId="7" xfId="0" applyBorder="1"/>
    <xf numFmtId="0" fontId="3" fillId="3" borderId="0" xfId="0" applyFont="1" applyFill="1" applyBorder="1"/>
    <xf numFmtId="0" fontId="3" fillId="3" borderId="5" xfId="0" applyFont="1" applyFill="1" applyBorder="1"/>
    <xf numFmtId="0" fontId="4" fillId="0" borderId="0" xfId="0" applyFont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7" xfId="0" applyFill="1" applyBorder="1"/>
    <xf numFmtId="0" fontId="0" fillId="3" borderId="8" xfId="0" applyFill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171450</xdr:colOff>
      <xdr:row>1</xdr:row>
      <xdr:rowOff>114300</xdr:rowOff>
    </xdr:from>
    <xdr:to>
      <xdr:col>23</xdr:col>
      <xdr:colOff>476250</xdr:colOff>
      <xdr:row>19</xdr:row>
      <xdr:rowOff>152400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91675" y="352425"/>
          <a:ext cx="5181600" cy="3409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57150</xdr:colOff>
      <xdr:row>1</xdr:row>
      <xdr:rowOff>76200</xdr:rowOff>
    </xdr:from>
    <xdr:to>
      <xdr:col>23</xdr:col>
      <xdr:colOff>361950</xdr:colOff>
      <xdr:row>19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77375" y="314325"/>
          <a:ext cx="5181600" cy="3409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123825</xdr:colOff>
      <xdr:row>2</xdr:row>
      <xdr:rowOff>19050</xdr:rowOff>
    </xdr:from>
    <xdr:to>
      <xdr:col>23</xdr:col>
      <xdr:colOff>428625</xdr:colOff>
      <xdr:row>20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44050" y="447675"/>
          <a:ext cx="5181600" cy="3409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48"/>
  <sheetViews>
    <sheetView tabSelected="1" topLeftCell="A4" workbookViewId="0">
      <selection activeCell="H29" sqref="H29"/>
    </sheetView>
  </sheetViews>
  <sheetFormatPr defaultRowHeight="15"/>
  <cols>
    <col min="1" max="1" width="2.7109375" customWidth="1"/>
    <col min="3" max="3" width="13.28515625" customWidth="1"/>
    <col min="4" max="4" width="10.7109375" customWidth="1"/>
    <col min="5" max="5" width="9" customWidth="1"/>
    <col min="6" max="6" width="5" customWidth="1"/>
    <col min="7" max="7" width="22.7109375" customWidth="1"/>
    <col min="9" max="9" width="7.85546875" customWidth="1"/>
    <col min="10" max="10" width="5" customWidth="1"/>
    <col min="12" max="12" width="11.42578125" customWidth="1"/>
    <col min="14" max="14" width="7.85546875" customWidth="1"/>
  </cols>
  <sheetData>
    <row r="1" spans="2:14" ht="18.75">
      <c r="B1" s="37" t="s">
        <v>60</v>
      </c>
    </row>
    <row r="2" spans="2:14">
      <c r="B2" t="s">
        <v>75</v>
      </c>
    </row>
    <row r="4" spans="2:14">
      <c r="B4" t="s">
        <v>14</v>
      </c>
      <c r="D4">
        <v>50</v>
      </c>
      <c r="E4" t="s">
        <v>5</v>
      </c>
      <c r="G4" t="s">
        <v>0</v>
      </c>
      <c r="H4">
        <v>1</v>
      </c>
      <c r="I4" t="s">
        <v>1</v>
      </c>
      <c r="K4" t="s">
        <v>48</v>
      </c>
      <c r="M4">
        <f>450</f>
        <v>450</v>
      </c>
      <c r="N4" t="s">
        <v>7</v>
      </c>
    </row>
    <row r="5" spans="2:14">
      <c r="B5" t="s">
        <v>21</v>
      </c>
      <c r="D5">
        <v>0.92</v>
      </c>
      <c r="G5" t="s">
        <v>2</v>
      </c>
      <c r="H5">
        <v>0.2</v>
      </c>
      <c r="I5" t="s">
        <v>1</v>
      </c>
      <c r="K5" t="s">
        <v>49</v>
      </c>
      <c r="M5">
        <v>150</v>
      </c>
      <c r="N5" t="s">
        <v>7</v>
      </c>
    </row>
    <row r="6" spans="2:14">
      <c r="K6" t="s">
        <v>50</v>
      </c>
      <c r="M6">
        <v>60</v>
      </c>
      <c r="N6" t="s">
        <v>51</v>
      </c>
    </row>
    <row r="7" spans="2:14">
      <c r="B7" t="s">
        <v>3</v>
      </c>
      <c r="D7">
        <v>150</v>
      </c>
      <c r="E7" t="s">
        <v>54</v>
      </c>
      <c r="G7" t="s">
        <v>6</v>
      </c>
      <c r="H7">
        <v>350</v>
      </c>
      <c r="I7" t="s">
        <v>7</v>
      </c>
      <c r="K7" t="s">
        <v>52</v>
      </c>
      <c r="M7">
        <v>40</v>
      </c>
      <c r="N7" t="s">
        <v>51</v>
      </c>
    </row>
    <row r="8" spans="2:14">
      <c r="B8" t="s">
        <v>4</v>
      </c>
      <c r="D8">
        <v>4.5</v>
      </c>
      <c r="E8" t="s">
        <v>5</v>
      </c>
      <c r="K8" t="s">
        <v>72</v>
      </c>
      <c r="M8">
        <v>50</v>
      </c>
      <c r="N8" t="s">
        <v>53</v>
      </c>
    </row>
    <row r="9" spans="2:14">
      <c r="B9" t="s">
        <v>79</v>
      </c>
      <c r="D9">
        <v>50</v>
      </c>
      <c r="E9" t="s">
        <v>8</v>
      </c>
      <c r="K9" s="2" t="s">
        <v>73</v>
      </c>
    </row>
    <row r="10" spans="2:14">
      <c r="D10" s="3">
        <f>D9/3.6</f>
        <v>13.888888888888889</v>
      </c>
      <c r="E10" t="s">
        <v>9</v>
      </c>
    </row>
    <row r="11" spans="2:14">
      <c r="D11" s="3"/>
      <c r="K11" t="s">
        <v>66</v>
      </c>
    </row>
    <row r="12" spans="2:14">
      <c r="B12" s="4" t="s">
        <v>65</v>
      </c>
      <c r="K12" t="s">
        <v>67</v>
      </c>
    </row>
    <row r="13" spans="2:14">
      <c r="B13" t="s">
        <v>16</v>
      </c>
      <c r="D13">
        <v>0.26</v>
      </c>
      <c r="G13" s="1" t="s">
        <v>17</v>
      </c>
      <c r="H13">
        <v>5.5</v>
      </c>
      <c r="I13" t="s">
        <v>5</v>
      </c>
      <c r="K13" t="s">
        <v>68</v>
      </c>
    </row>
    <row r="14" spans="2:14">
      <c r="B14" t="s">
        <v>15</v>
      </c>
      <c r="D14">
        <v>0.55000000000000004</v>
      </c>
      <c r="G14" s="1" t="s">
        <v>18</v>
      </c>
      <c r="H14">
        <v>12.3</v>
      </c>
      <c r="I14" t="s">
        <v>5</v>
      </c>
    </row>
    <row r="15" spans="2:14">
      <c r="B15" t="s">
        <v>39</v>
      </c>
      <c r="D15">
        <v>13000</v>
      </c>
      <c r="E15" t="s">
        <v>1</v>
      </c>
      <c r="G15" s="1"/>
    </row>
    <row r="16" spans="2:14" ht="15.75" thickBot="1"/>
    <row r="17" spans="2:14">
      <c r="B17" s="10" t="s">
        <v>26</v>
      </c>
      <c r="C17" s="11"/>
      <c r="D17" s="11"/>
      <c r="E17" s="12"/>
      <c r="G17" s="10" t="s">
        <v>69</v>
      </c>
      <c r="H17" s="11"/>
      <c r="I17" s="12"/>
      <c r="K17" s="10" t="s">
        <v>47</v>
      </c>
      <c r="L17" s="11"/>
      <c r="M17" s="11"/>
      <c r="N17" s="12"/>
    </row>
    <row r="18" spans="2:14" ht="9.75" customHeight="1">
      <c r="B18" s="14"/>
      <c r="C18" s="15"/>
      <c r="D18" s="15"/>
      <c r="E18" s="16"/>
      <c r="G18" s="14"/>
      <c r="H18" s="15"/>
      <c r="I18" s="16"/>
      <c r="K18" s="14"/>
      <c r="L18" s="15"/>
      <c r="M18" s="15"/>
      <c r="N18" s="16"/>
    </row>
    <row r="19" spans="2:14">
      <c r="B19" s="14" t="s">
        <v>3</v>
      </c>
      <c r="C19" s="15"/>
      <c r="D19" s="15">
        <f>D7*H7</f>
        <v>52500</v>
      </c>
      <c r="E19" s="16" t="s">
        <v>11</v>
      </c>
      <c r="G19" s="14" t="s">
        <v>61</v>
      </c>
      <c r="H19" s="15">
        <f>H14*14*180</f>
        <v>30996.000000000004</v>
      </c>
      <c r="I19" s="16" t="s">
        <v>27</v>
      </c>
      <c r="K19" s="14" t="s">
        <v>50</v>
      </c>
      <c r="L19" s="15"/>
      <c r="M19" s="15">
        <f>M4*M6</f>
        <v>27000</v>
      </c>
      <c r="N19" s="16" t="s">
        <v>1</v>
      </c>
    </row>
    <row r="20" spans="2:14">
      <c r="B20" s="14" t="s">
        <v>13</v>
      </c>
      <c r="C20" s="15"/>
      <c r="D20" s="17">
        <f>D$19/($D$10*$D$5)</f>
        <v>4108.695652173913</v>
      </c>
      <c r="E20" s="16" t="s">
        <v>19</v>
      </c>
      <c r="G20" s="14" t="s">
        <v>28</v>
      </c>
      <c r="H20" s="15">
        <v>0</v>
      </c>
      <c r="I20" s="16" t="s">
        <v>1</v>
      </c>
      <c r="K20" s="14" t="s">
        <v>52</v>
      </c>
      <c r="L20" s="15"/>
      <c r="M20" s="15">
        <f>M5*M7</f>
        <v>6000</v>
      </c>
      <c r="N20" s="16" t="s">
        <v>1</v>
      </c>
    </row>
    <row r="21" spans="2:14">
      <c r="B21" s="14"/>
      <c r="C21" s="15"/>
      <c r="D21" s="18" t="s">
        <v>20</v>
      </c>
      <c r="E21" s="16"/>
      <c r="G21" s="23" t="s">
        <v>46</v>
      </c>
      <c r="H21" s="15"/>
      <c r="I21" s="16"/>
      <c r="K21" s="14"/>
      <c r="L21" s="15" t="s">
        <v>42</v>
      </c>
      <c r="M21" s="15">
        <f>M19+M20</f>
        <v>33000</v>
      </c>
      <c r="N21" s="16" t="s">
        <v>1</v>
      </c>
    </row>
    <row r="22" spans="2:14">
      <c r="B22" s="14" t="s">
        <v>29</v>
      </c>
      <c r="C22" s="15"/>
      <c r="D22" s="17">
        <f>D20*H4</f>
        <v>4108.695652173913</v>
      </c>
      <c r="E22" s="16" t="s">
        <v>1</v>
      </c>
      <c r="G22" s="14" t="s">
        <v>62</v>
      </c>
      <c r="H22" s="15">
        <f>D19-H19</f>
        <v>21503.999999999996</v>
      </c>
      <c r="I22" s="16" t="s">
        <v>11</v>
      </c>
      <c r="K22" s="14"/>
      <c r="L22" s="15"/>
      <c r="M22" s="15"/>
      <c r="N22" s="16"/>
    </row>
    <row r="23" spans="2:14">
      <c r="B23" s="14"/>
      <c r="C23" s="15"/>
      <c r="D23" s="15"/>
      <c r="E23" s="16"/>
      <c r="G23" s="14" t="s">
        <v>30</v>
      </c>
      <c r="H23" s="17">
        <f>H$22/($D$10*$D$5)</f>
        <v>1682.9217391304344</v>
      </c>
      <c r="I23" s="16" t="s">
        <v>19</v>
      </c>
      <c r="K23" s="14" t="s">
        <v>3</v>
      </c>
      <c r="L23" s="15"/>
      <c r="M23" s="15">
        <f>H7*M8</f>
        <v>17500</v>
      </c>
      <c r="N23" s="16" t="s">
        <v>55</v>
      </c>
    </row>
    <row r="24" spans="2:14">
      <c r="B24" s="14" t="s">
        <v>4</v>
      </c>
      <c r="C24" s="15"/>
      <c r="D24" s="15">
        <f>D8*24*365</f>
        <v>39420</v>
      </c>
      <c r="E24" s="16" t="s">
        <v>10</v>
      </c>
      <c r="G24" s="14" t="s">
        <v>29</v>
      </c>
      <c r="H24" s="17">
        <f>H23*H4</f>
        <v>1682.9217391304344</v>
      </c>
      <c r="I24" s="16" t="s">
        <v>1</v>
      </c>
      <c r="K24" s="14" t="s">
        <v>13</v>
      </c>
      <c r="L24" s="15"/>
      <c r="M24" s="17">
        <f>M23/(D5*D10)</f>
        <v>1369.5652173913043</v>
      </c>
      <c r="N24" s="16" t="s">
        <v>19</v>
      </c>
    </row>
    <row r="25" spans="2:14">
      <c r="B25" s="14" t="s">
        <v>12</v>
      </c>
      <c r="C25" s="15"/>
      <c r="D25" s="15">
        <f>D24*H5</f>
        <v>7884</v>
      </c>
      <c r="E25" s="16" t="s">
        <v>1</v>
      </c>
      <c r="G25" s="14"/>
      <c r="H25" s="15"/>
      <c r="I25" s="16"/>
      <c r="K25" s="14" t="s">
        <v>56</v>
      </c>
      <c r="L25" s="15"/>
      <c r="M25" s="17">
        <f>M24*H4</f>
        <v>1369.5652173913043</v>
      </c>
      <c r="N25" s="16" t="s">
        <v>1</v>
      </c>
    </row>
    <row r="26" spans="2:14">
      <c r="B26" s="14"/>
      <c r="C26" s="15"/>
      <c r="D26" s="15"/>
      <c r="E26" s="16"/>
      <c r="G26" s="14" t="s">
        <v>92</v>
      </c>
      <c r="H26" s="15">
        <f>H13*180*14</f>
        <v>13860</v>
      </c>
      <c r="I26" s="16" t="s">
        <v>10</v>
      </c>
      <c r="K26" s="14"/>
      <c r="L26" s="15"/>
      <c r="M26" s="15"/>
      <c r="N26" s="16"/>
    </row>
    <row r="27" spans="2:14">
      <c r="B27" s="14" t="s">
        <v>22</v>
      </c>
      <c r="C27" s="15"/>
      <c r="D27" s="15"/>
      <c r="E27" s="16"/>
      <c r="G27" s="14" t="s">
        <v>34</v>
      </c>
      <c r="H27" s="15">
        <f>H26*H5</f>
        <v>2772</v>
      </c>
      <c r="I27" s="16" t="s">
        <v>1</v>
      </c>
      <c r="K27" s="14" t="s">
        <v>22</v>
      </c>
      <c r="L27" s="15"/>
      <c r="M27" s="15"/>
      <c r="N27" s="16"/>
    </row>
    <row r="28" spans="2:14">
      <c r="B28" s="14" t="s">
        <v>23</v>
      </c>
      <c r="C28" s="15"/>
      <c r="D28" s="17">
        <f>D22</f>
        <v>4108.695652173913</v>
      </c>
      <c r="E28" s="16" t="s">
        <v>1</v>
      </c>
      <c r="G28" s="14" t="s">
        <v>45</v>
      </c>
      <c r="H28" s="15">
        <f>(D24-H26)*H5</f>
        <v>5112</v>
      </c>
      <c r="I28" s="16" t="s">
        <v>1</v>
      </c>
      <c r="K28" s="14" t="s">
        <v>23</v>
      </c>
      <c r="L28" s="15"/>
      <c r="M28" s="25">
        <f>M25</f>
        <v>1369.5652173913043</v>
      </c>
      <c r="N28" s="16" t="s">
        <v>1</v>
      </c>
    </row>
    <row r="29" spans="2:14">
      <c r="B29" s="14" t="s">
        <v>24</v>
      </c>
      <c r="C29" s="15"/>
      <c r="D29" s="15">
        <f>D25</f>
        <v>7884</v>
      </c>
      <c r="E29" s="16" t="s">
        <v>1</v>
      </c>
      <c r="G29" s="14" t="s">
        <v>31</v>
      </c>
      <c r="H29" s="17">
        <f>H26/(D10*D13)</f>
        <v>3838.1538461538462</v>
      </c>
      <c r="I29" s="16" t="s">
        <v>19</v>
      </c>
      <c r="K29" s="14" t="s">
        <v>24</v>
      </c>
      <c r="L29" s="15"/>
      <c r="M29" s="15">
        <f>D29</f>
        <v>7884</v>
      </c>
      <c r="N29" s="16" t="s">
        <v>1</v>
      </c>
    </row>
    <row r="30" spans="2:14">
      <c r="B30" s="14" t="s">
        <v>25</v>
      </c>
      <c r="C30" s="15"/>
      <c r="D30" s="15">
        <v>500</v>
      </c>
      <c r="E30" s="16" t="s">
        <v>1</v>
      </c>
      <c r="G30" s="14" t="s">
        <v>32</v>
      </c>
      <c r="H30" s="17">
        <f>H29*H4</f>
        <v>3838.1538461538462</v>
      </c>
      <c r="I30" s="16" t="s">
        <v>1</v>
      </c>
      <c r="K30" s="14" t="s">
        <v>25</v>
      </c>
      <c r="L30" s="15"/>
      <c r="M30" s="15">
        <v>500</v>
      </c>
      <c r="N30" s="16" t="s">
        <v>1</v>
      </c>
    </row>
    <row r="31" spans="2:14" ht="15.75" thickBot="1">
      <c r="B31" s="19"/>
      <c r="C31" s="20" t="s">
        <v>42</v>
      </c>
      <c r="D31" s="21">
        <f>SUM(D28:D30)</f>
        <v>12492.695652173912</v>
      </c>
      <c r="E31" s="22" t="s">
        <v>1</v>
      </c>
      <c r="G31" s="14"/>
      <c r="H31" s="15"/>
      <c r="I31" s="16"/>
      <c r="K31" s="19"/>
      <c r="L31" s="20" t="s">
        <v>42</v>
      </c>
      <c r="M31" s="21">
        <f>SUM(M28:M30)</f>
        <v>9753.565217391304</v>
      </c>
      <c r="N31" s="22" t="s">
        <v>1</v>
      </c>
    </row>
    <row r="32" spans="2:14" ht="15.75" thickBot="1">
      <c r="G32" s="14" t="s">
        <v>35</v>
      </c>
      <c r="H32" s="15"/>
      <c r="I32" s="16"/>
    </row>
    <row r="33" spans="2:14">
      <c r="B33" s="38" t="s">
        <v>93</v>
      </c>
      <c r="C33" s="39"/>
      <c r="D33" s="39"/>
      <c r="E33" s="40"/>
      <c r="G33" s="14" t="s">
        <v>36</v>
      </c>
      <c r="H33" s="17">
        <f>H24</f>
        <v>1682.9217391304344</v>
      </c>
      <c r="I33" s="16" t="s">
        <v>1</v>
      </c>
      <c r="K33" s="15" t="s">
        <v>70</v>
      </c>
    </row>
    <row r="34" spans="2:14">
      <c r="B34" s="14" t="s">
        <v>88</v>
      </c>
      <c r="C34" s="15"/>
      <c r="D34" s="15">
        <f>D8*24</f>
        <v>108</v>
      </c>
      <c r="E34" s="16" t="s">
        <v>10</v>
      </c>
      <c r="G34" s="14" t="s">
        <v>43</v>
      </c>
      <c r="H34" s="15">
        <f>H28</f>
        <v>5112</v>
      </c>
      <c r="I34" s="16" t="s">
        <v>1</v>
      </c>
      <c r="K34" s="15" t="s">
        <v>71</v>
      </c>
    </row>
    <row r="35" spans="2:14">
      <c r="B35" s="14" t="s">
        <v>89</v>
      </c>
      <c r="C35" s="15"/>
      <c r="D35" s="15">
        <f>H13*14</f>
        <v>77</v>
      </c>
      <c r="E35" s="16" t="s">
        <v>10</v>
      </c>
      <c r="G35" s="14" t="s">
        <v>44</v>
      </c>
      <c r="H35" s="17">
        <f>H30</f>
        <v>3838.1538461538462</v>
      </c>
      <c r="I35" s="16" t="s">
        <v>1</v>
      </c>
      <c r="K35" t="s">
        <v>78</v>
      </c>
      <c r="M35" s="1">
        <f>M23 / (14*180)</f>
        <v>6.9444444444444446</v>
      </c>
      <c r="N35" t="s">
        <v>5</v>
      </c>
    </row>
    <row r="36" spans="2:14">
      <c r="B36" s="14" t="s">
        <v>90</v>
      </c>
      <c r="C36" s="15"/>
      <c r="D36" s="15"/>
      <c r="E36" s="16"/>
      <c r="G36" s="14" t="s">
        <v>74</v>
      </c>
      <c r="H36" s="15">
        <f>750</f>
        <v>750</v>
      </c>
      <c r="I36" s="16" t="s">
        <v>1</v>
      </c>
    </row>
    <row r="37" spans="2:14" ht="15.75" thickBot="1">
      <c r="B37" s="19" t="s">
        <v>91</v>
      </c>
      <c r="C37" s="41"/>
      <c r="D37" s="41"/>
      <c r="E37" s="42"/>
      <c r="G37" s="24" t="s">
        <v>42</v>
      </c>
      <c r="H37" s="21">
        <f>SUM(H33:H36)</f>
        <v>11383.075585284281</v>
      </c>
      <c r="I37" s="22" t="s">
        <v>1</v>
      </c>
    </row>
    <row r="38" spans="2:14" ht="15.75" thickBot="1"/>
    <row r="39" spans="2:14">
      <c r="B39" s="26" t="s">
        <v>37</v>
      </c>
      <c r="C39" s="27"/>
      <c r="D39" s="28">
        <f>D31-H37</f>
        <v>1109.6200668896308</v>
      </c>
      <c r="E39" s="27" t="s">
        <v>38</v>
      </c>
      <c r="F39" s="5"/>
      <c r="G39" s="27" t="s">
        <v>63</v>
      </c>
      <c r="H39" s="28">
        <f>D31-M31</f>
        <v>2739.1304347826081</v>
      </c>
      <c r="I39" s="27" t="s">
        <v>57</v>
      </c>
      <c r="J39" s="6"/>
    </row>
    <row r="40" spans="2:14">
      <c r="B40" s="14"/>
      <c r="C40" s="15"/>
      <c r="D40" s="15"/>
      <c r="E40" s="15"/>
      <c r="F40" s="15"/>
      <c r="G40" s="15"/>
      <c r="H40" s="15"/>
      <c r="I40" s="15"/>
      <c r="J40" s="16"/>
    </row>
    <row r="41" spans="2:14">
      <c r="B41" s="14" t="s">
        <v>58</v>
      </c>
      <c r="C41" s="15"/>
      <c r="D41" s="15"/>
      <c r="E41" s="15"/>
      <c r="F41" s="15"/>
      <c r="G41" s="15" t="s">
        <v>64</v>
      </c>
      <c r="H41" s="15"/>
      <c r="I41" s="15"/>
      <c r="J41" s="16"/>
    </row>
    <row r="42" spans="2:14">
      <c r="B42" s="14" t="s">
        <v>39</v>
      </c>
      <c r="C42" s="15">
        <f>0.5 *11000</f>
        <v>5500</v>
      </c>
      <c r="D42" s="15" t="s">
        <v>1</v>
      </c>
      <c r="E42" s="15"/>
      <c r="F42" s="15"/>
      <c r="G42" s="15" t="s">
        <v>50</v>
      </c>
      <c r="H42" s="15">
        <f>M21*0.35</f>
        <v>11550</v>
      </c>
      <c r="I42" s="15" t="s">
        <v>1</v>
      </c>
      <c r="J42" s="16"/>
    </row>
    <row r="43" spans="2:14">
      <c r="B43" s="14" t="s">
        <v>40</v>
      </c>
      <c r="C43" s="15"/>
      <c r="D43" s="30">
        <f>C42/D39</f>
        <v>4.9566515279567867</v>
      </c>
      <c r="E43" s="15" t="s">
        <v>41</v>
      </c>
      <c r="F43" s="15"/>
      <c r="G43" s="15" t="s">
        <v>40</v>
      </c>
      <c r="H43" s="30">
        <f>H42/H39</f>
        <v>4.2166666666666677</v>
      </c>
      <c r="I43" s="15" t="s">
        <v>41</v>
      </c>
      <c r="J43" s="16"/>
    </row>
    <row r="44" spans="2:14">
      <c r="B44" s="14"/>
      <c r="C44" s="15"/>
      <c r="D44" s="15"/>
      <c r="E44" s="15"/>
      <c r="F44" s="15"/>
      <c r="G44" s="15"/>
      <c r="H44" s="15"/>
      <c r="I44" s="15"/>
      <c r="J44" s="16"/>
    </row>
    <row r="45" spans="2:14">
      <c r="B45" s="14" t="s">
        <v>59</v>
      </c>
      <c r="C45" s="15"/>
      <c r="D45" s="15">
        <v>10</v>
      </c>
      <c r="E45" s="15" t="s">
        <v>41</v>
      </c>
      <c r="F45" s="15"/>
      <c r="G45" s="15" t="s">
        <v>59</v>
      </c>
      <c r="H45" s="15">
        <v>20</v>
      </c>
      <c r="I45" s="15" t="s">
        <v>41</v>
      </c>
      <c r="J45" s="16"/>
    </row>
    <row r="46" spans="2:14">
      <c r="B46" s="14"/>
      <c r="C46" s="15"/>
      <c r="D46" s="15"/>
      <c r="E46" s="15"/>
      <c r="F46" s="15"/>
      <c r="G46" s="15"/>
      <c r="H46" s="15"/>
      <c r="I46" s="15"/>
      <c r="J46" s="16"/>
    </row>
    <row r="47" spans="2:14">
      <c r="B47" s="33" t="s">
        <v>76</v>
      </c>
      <c r="C47" s="31"/>
      <c r="D47" s="31"/>
      <c r="E47" s="32">
        <f>(D45-D43)*D39</f>
        <v>5596.2006688963074</v>
      </c>
      <c r="F47" s="35" t="s">
        <v>1</v>
      </c>
      <c r="G47" s="31" t="s">
        <v>76</v>
      </c>
      <c r="H47" s="31"/>
      <c r="I47" s="32">
        <f>(10-H43)*H39</f>
        <v>15841.304347826081</v>
      </c>
      <c r="J47" s="36" t="s">
        <v>1</v>
      </c>
    </row>
    <row r="48" spans="2:14" ht="15.75" thickBot="1">
      <c r="B48" s="7"/>
      <c r="C48" s="34"/>
      <c r="D48" s="34"/>
      <c r="E48" s="34"/>
      <c r="F48" s="8"/>
      <c r="G48" s="29" t="s">
        <v>77</v>
      </c>
      <c r="H48" s="29"/>
      <c r="I48" s="13">
        <f>(H45-H43)*H39</f>
        <v>43232.608695652161</v>
      </c>
      <c r="J48" s="9" t="s">
        <v>1</v>
      </c>
    </row>
  </sheetData>
  <mergeCells count="3">
    <mergeCell ref="B17:E17"/>
    <mergeCell ref="G17:I17"/>
    <mergeCell ref="K17:N17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N48"/>
  <sheetViews>
    <sheetView topLeftCell="A19" workbookViewId="0">
      <selection activeCell="N40" sqref="N40"/>
    </sheetView>
  </sheetViews>
  <sheetFormatPr defaultRowHeight="15"/>
  <cols>
    <col min="1" max="1" width="2.7109375" customWidth="1"/>
    <col min="3" max="3" width="13.28515625" customWidth="1"/>
    <col min="4" max="4" width="10.7109375" customWidth="1"/>
    <col min="5" max="5" width="9" customWidth="1"/>
    <col min="6" max="6" width="5" customWidth="1"/>
    <col min="7" max="7" width="22.7109375" customWidth="1"/>
    <col min="9" max="9" width="7.85546875" customWidth="1"/>
    <col min="10" max="10" width="5" customWidth="1"/>
    <col min="12" max="12" width="11.42578125" customWidth="1"/>
    <col min="14" max="14" width="7.85546875" customWidth="1"/>
  </cols>
  <sheetData>
    <row r="1" spans="2:14" ht="18.75">
      <c r="B1" s="37" t="s">
        <v>60</v>
      </c>
    </row>
    <row r="2" spans="2:14">
      <c r="B2" t="s">
        <v>75</v>
      </c>
    </row>
    <row r="4" spans="2:14">
      <c r="B4" t="s">
        <v>14</v>
      </c>
      <c r="D4">
        <v>50</v>
      </c>
      <c r="E4" t="s">
        <v>5</v>
      </c>
      <c r="G4" t="s">
        <v>0</v>
      </c>
      <c r="H4">
        <v>1</v>
      </c>
      <c r="I4" t="s">
        <v>1</v>
      </c>
      <c r="K4" t="s">
        <v>48</v>
      </c>
      <c r="M4">
        <f>450</f>
        <v>450</v>
      </c>
      <c r="N4" t="s">
        <v>7</v>
      </c>
    </row>
    <row r="5" spans="2:14">
      <c r="B5" t="s">
        <v>21</v>
      </c>
      <c r="D5">
        <v>0.92</v>
      </c>
      <c r="G5" t="s">
        <v>2</v>
      </c>
      <c r="H5">
        <v>0.2</v>
      </c>
      <c r="I5" t="s">
        <v>1</v>
      </c>
      <c r="K5" t="s">
        <v>49</v>
      </c>
      <c r="M5">
        <v>150</v>
      </c>
      <c r="N5" t="s">
        <v>7</v>
      </c>
    </row>
    <row r="6" spans="2:14">
      <c r="K6" t="s">
        <v>50</v>
      </c>
      <c r="M6">
        <v>60</v>
      </c>
      <c r="N6" t="s">
        <v>51</v>
      </c>
    </row>
    <row r="7" spans="2:14">
      <c r="B7" t="s">
        <v>3</v>
      </c>
      <c r="D7">
        <v>260</v>
      </c>
      <c r="E7" t="s">
        <v>54</v>
      </c>
      <c r="G7" t="s">
        <v>6</v>
      </c>
      <c r="H7">
        <v>350</v>
      </c>
      <c r="I7" t="s">
        <v>7</v>
      </c>
      <c r="K7" t="s">
        <v>52</v>
      </c>
      <c r="M7">
        <v>40</v>
      </c>
      <c r="N7" t="s">
        <v>51</v>
      </c>
    </row>
    <row r="8" spans="2:14">
      <c r="B8" t="s">
        <v>4</v>
      </c>
      <c r="D8">
        <v>4.5</v>
      </c>
      <c r="E8" t="s">
        <v>5</v>
      </c>
      <c r="K8" t="s">
        <v>72</v>
      </c>
      <c r="M8">
        <v>50</v>
      </c>
      <c r="N8" t="s">
        <v>53</v>
      </c>
    </row>
    <row r="9" spans="2:14">
      <c r="B9" t="s">
        <v>79</v>
      </c>
      <c r="D9">
        <v>50</v>
      </c>
      <c r="E9" t="s">
        <v>8</v>
      </c>
      <c r="K9" s="2" t="s">
        <v>73</v>
      </c>
    </row>
    <row r="10" spans="2:14">
      <c r="D10" s="3">
        <f>D9/3.6</f>
        <v>13.888888888888889</v>
      </c>
      <c r="E10" t="s">
        <v>9</v>
      </c>
    </row>
    <row r="11" spans="2:14">
      <c r="D11" s="3"/>
      <c r="K11" t="s">
        <v>66</v>
      </c>
    </row>
    <row r="12" spans="2:14">
      <c r="B12" s="4" t="s">
        <v>65</v>
      </c>
      <c r="K12" t="s">
        <v>67</v>
      </c>
    </row>
    <row r="13" spans="2:14">
      <c r="B13" t="s">
        <v>16</v>
      </c>
      <c r="D13">
        <v>0.26</v>
      </c>
      <c r="G13" s="1" t="s">
        <v>17</v>
      </c>
      <c r="H13">
        <v>5.5</v>
      </c>
      <c r="I13" t="s">
        <v>5</v>
      </c>
      <c r="K13" t="s">
        <v>68</v>
      </c>
    </row>
    <row r="14" spans="2:14">
      <c r="B14" t="s">
        <v>15</v>
      </c>
      <c r="D14">
        <v>0.55000000000000004</v>
      </c>
      <c r="G14" s="1" t="s">
        <v>18</v>
      </c>
      <c r="H14">
        <v>12.3</v>
      </c>
      <c r="I14" t="s">
        <v>5</v>
      </c>
    </row>
    <row r="15" spans="2:14">
      <c r="B15" t="s">
        <v>39</v>
      </c>
      <c r="D15">
        <v>13000</v>
      </c>
      <c r="E15" t="s">
        <v>1</v>
      </c>
      <c r="G15" s="1"/>
    </row>
    <row r="16" spans="2:14" ht="15.75" thickBot="1"/>
    <row r="17" spans="2:14">
      <c r="B17" s="10" t="s">
        <v>26</v>
      </c>
      <c r="C17" s="11"/>
      <c r="D17" s="11"/>
      <c r="E17" s="12"/>
      <c r="G17" s="10" t="s">
        <v>69</v>
      </c>
      <c r="H17" s="11"/>
      <c r="I17" s="12"/>
      <c r="K17" s="10" t="s">
        <v>47</v>
      </c>
      <c r="L17" s="11"/>
      <c r="M17" s="11"/>
      <c r="N17" s="12"/>
    </row>
    <row r="18" spans="2:14" ht="9.75" customHeight="1">
      <c r="B18" s="14"/>
      <c r="C18" s="15"/>
      <c r="D18" s="15"/>
      <c r="E18" s="16"/>
      <c r="G18" s="14"/>
      <c r="H18" s="15"/>
      <c r="I18" s="16"/>
      <c r="K18" s="14"/>
      <c r="L18" s="15"/>
      <c r="M18" s="15"/>
      <c r="N18" s="16"/>
    </row>
    <row r="19" spans="2:14">
      <c r="B19" s="14" t="s">
        <v>3</v>
      </c>
      <c r="C19" s="15"/>
      <c r="D19" s="15">
        <f>D7*H7</f>
        <v>91000</v>
      </c>
      <c r="E19" s="16" t="s">
        <v>11</v>
      </c>
      <c r="G19" s="14" t="s">
        <v>61</v>
      </c>
      <c r="H19" s="15">
        <f>H14*14*180</f>
        <v>30996.000000000004</v>
      </c>
      <c r="I19" s="16" t="s">
        <v>27</v>
      </c>
      <c r="K19" s="14" t="s">
        <v>50</v>
      </c>
      <c r="L19" s="15"/>
      <c r="M19" s="15">
        <f>M4*M6</f>
        <v>27000</v>
      </c>
      <c r="N19" s="16" t="s">
        <v>1</v>
      </c>
    </row>
    <row r="20" spans="2:14">
      <c r="B20" s="14" t="s">
        <v>13</v>
      </c>
      <c r="C20" s="15"/>
      <c r="D20" s="17">
        <f>D$19/($D$10*$D$5)</f>
        <v>7121.7391304347821</v>
      </c>
      <c r="E20" s="16" t="s">
        <v>19</v>
      </c>
      <c r="G20" s="14" t="s">
        <v>28</v>
      </c>
      <c r="H20" s="15">
        <v>0</v>
      </c>
      <c r="I20" s="16" t="s">
        <v>1</v>
      </c>
      <c r="K20" s="14" t="s">
        <v>52</v>
      </c>
      <c r="L20" s="15"/>
      <c r="M20" s="15">
        <f>M5*M7</f>
        <v>6000</v>
      </c>
      <c r="N20" s="16" t="s">
        <v>1</v>
      </c>
    </row>
    <row r="21" spans="2:14">
      <c r="B21" s="14"/>
      <c r="C21" s="15"/>
      <c r="D21" s="18" t="s">
        <v>20</v>
      </c>
      <c r="E21" s="16"/>
      <c r="G21" s="23" t="s">
        <v>46</v>
      </c>
      <c r="H21" s="15"/>
      <c r="I21" s="16"/>
      <c r="K21" s="14"/>
      <c r="L21" s="15" t="s">
        <v>42</v>
      </c>
      <c r="M21" s="15">
        <f>M19+M20</f>
        <v>33000</v>
      </c>
      <c r="N21" s="16" t="s">
        <v>1</v>
      </c>
    </row>
    <row r="22" spans="2:14">
      <c r="B22" s="14" t="s">
        <v>29</v>
      </c>
      <c r="C22" s="15"/>
      <c r="D22" s="17">
        <f>D20*H4</f>
        <v>7121.7391304347821</v>
      </c>
      <c r="E22" s="16" t="s">
        <v>1</v>
      </c>
      <c r="G22" s="14" t="s">
        <v>62</v>
      </c>
      <c r="H22" s="15">
        <f>D19-H19</f>
        <v>60004</v>
      </c>
      <c r="I22" s="16" t="s">
        <v>11</v>
      </c>
      <c r="K22" s="14"/>
      <c r="L22" s="15"/>
      <c r="M22" s="15"/>
      <c r="N22" s="16"/>
    </row>
    <row r="23" spans="2:14">
      <c r="B23" s="14"/>
      <c r="C23" s="15"/>
      <c r="D23" s="15"/>
      <c r="E23" s="16"/>
      <c r="G23" s="14" t="s">
        <v>30</v>
      </c>
      <c r="H23" s="17">
        <f>H$22/($D$10*$D$5)</f>
        <v>4695.9652173913037</v>
      </c>
      <c r="I23" s="16" t="s">
        <v>19</v>
      </c>
      <c r="K23" s="14" t="s">
        <v>3</v>
      </c>
      <c r="L23" s="15"/>
      <c r="M23" s="15">
        <f>H7*M8</f>
        <v>17500</v>
      </c>
      <c r="N23" s="16" t="s">
        <v>55</v>
      </c>
    </row>
    <row r="24" spans="2:14">
      <c r="B24" s="14" t="s">
        <v>4</v>
      </c>
      <c r="C24" s="15"/>
      <c r="D24" s="15">
        <f>D8*24*365</f>
        <v>39420</v>
      </c>
      <c r="E24" s="16" t="s">
        <v>10</v>
      </c>
      <c r="G24" s="14" t="s">
        <v>29</v>
      </c>
      <c r="H24" s="17">
        <f>H23*H4</f>
        <v>4695.9652173913037</v>
      </c>
      <c r="I24" s="16" t="s">
        <v>1</v>
      </c>
      <c r="K24" s="14" t="s">
        <v>13</v>
      </c>
      <c r="L24" s="15"/>
      <c r="M24" s="17">
        <f>M23/(D5*D10)</f>
        <v>1369.5652173913043</v>
      </c>
      <c r="N24" s="16" t="s">
        <v>19</v>
      </c>
    </row>
    <row r="25" spans="2:14">
      <c r="B25" s="14" t="s">
        <v>12</v>
      </c>
      <c r="C25" s="15"/>
      <c r="D25" s="15">
        <f>D24*H5</f>
        <v>7884</v>
      </c>
      <c r="E25" s="16" t="s">
        <v>1</v>
      </c>
      <c r="G25" s="14"/>
      <c r="H25" s="15"/>
      <c r="I25" s="16"/>
      <c r="K25" s="14" t="s">
        <v>56</v>
      </c>
      <c r="L25" s="15"/>
      <c r="M25" s="17">
        <f>M24*H4</f>
        <v>1369.5652173913043</v>
      </c>
      <c r="N25" s="16" t="s">
        <v>1</v>
      </c>
    </row>
    <row r="26" spans="2:14">
      <c r="B26" s="14"/>
      <c r="C26" s="15"/>
      <c r="D26" s="15"/>
      <c r="E26" s="16"/>
      <c r="G26" s="14" t="s">
        <v>33</v>
      </c>
      <c r="H26" s="15">
        <f>H13*180*14</f>
        <v>13860</v>
      </c>
      <c r="I26" s="16" t="s">
        <v>10</v>
      </c>
      <c r="K26" s="14"/>
      <c r="L26" s="15"/>
      <c r="M26" s="15"/>
      <c r="N26" s="16"/>
    </row>
    <row r="27" spans="2:14">
      <c r="B27" s="14" t="s">
        <v>22</v>
      </c>
      <c r="C27" s="15"/>
      <c r="D27" s="15"/>
      <c r="E27" s="16"/>
      <c r="G27" s="14" t="s">
        <v>34</v>
      </c>
      <c r="H27" s="15">
        <f>H26*H5</f>
        <v>2772</v>
      </c>
      <c r="I27" s="16" t="s">
        <v>1</v>
      </c>
      <c r="K27" s="14" t="s">
        <v>22</v>
      </c>
      <c r="L27" s="15"/>
      <c r="M27" s="15"/>
      <c r="N27" s="16"/>
    </row>
    <row r="28" spans="2:14">
      <c r="B28" s="14" t="s">
        <v>23</v>
      </c>
      <c r="C28" s="15"/>
      <c r="D28" s="17">
        <f>D22</f>
        <v>7121.7391304347821</v>
      </c>
      <c r="E28" s="16" t="s">
        <v>1</v>
      </c>
      <c r="G28" s="14" t="s">
        <v>45</v>
      </c>
      <c r="H28" s="15">
        <f>(D24-H26)*H5</f>
        <v>5112</v>
      </c>
      <c r="I28" s="16" t="s">
        <v>1</v>
      </c>
      <c r="K28" s="14" t="s">
        <v>23</v>
      </c>
      <c r="L28" s="15"/>
      <c r="M28" s="25">
        <f>M25</f>
        <v>1369.5652173913043</v>
      </c>
      <c r="N28" s="16" t="s">
        <v>1</v>
      </c>
    </row>
    <row r="29" spans="2:14">
      <c r="B29" s="14" t="s">
        <v>24</v>
      </c>
      <c r="C29" s="15"/>
      <c r="D29" s="15">
        <f>D25</f>
        <v>7884</v>
      </c>
      <c r="E29" s="16" t="s">
        <v>1</v>
      </c>
      <c r="G29" s="14" t="s">
        <v>31</v>
      </c>
      <c r="H29" s="17">
        <f>H26/(D10*D13)</f>
        <v>3838.1538461538462</v>
      </c>
      <c r="I29" s="16" t="s">
        <v>19</v>
      </c>
      <c r="K29" s="14" t="s">
        <v>24</v>
      </c>
      <c r="L29" s="15"/>
      <c r="M29" s="15">
        <f>D29</f>
        <v>7884</v>
      </c>
      <c r="N29" s="16" t="s">
        <v>1</v>
      </c>
    </row>
    <row r="30" spans="2:14">
      <c r="B30" s="14" t="s">
        <v>25</v>
      </c>
      <c r="C30" s="15"/>
      <c r="D30" s="15">
        <v>500</v>
      </c>
      <c r="E30" s="16" t="s">
        <v>1</v>
      </c>
      <c r="G30" s="14" t="s">
        <v>32</v>
      </c>
      <c r="H30" s="17">
        <f>H29*H4</f>
        <v>3838.1538461538462</v>
      </c>
      <c r="I30" s="16" t="s">
        <v>1</v>
      </c>
      <c r="K30" s="14" t="s">
        <v>25</v>
      </c>
      <c r="L30" s="15"/>
      <c r="M30" s="15">
        <v>500</v>
      </c>
      <c r="N30" s="16" t="s">
        <v>1</v>
      </c>
    </row>
    <row r="31" spans="2:14" ht="15.75" thickBot="1">
      <c r="B31" s="19"/>
      <c r="C31" s="20" t="s">
        <v>42</v>
      </c>
      <c r="D31" s="21">
        <f>SUM(D28:D30)</f>
        <v>15505.739130434782</v>
      </c>
      <c r="E31" s="22" t="s">
        <v>1</v>
      </c>
      <c r="G31" s="14"/>
      <c r="H31" s="15"/>
      <c r="I31" s="16"/>
      <c r="K31" s="19"/>
      <c r="L31" s="20" t="s">
        <v>42</v>
      </c>
      <c r="M31" s="21">
        <f>SUM(M28:M30)</f>
        <v>9753.565217391304</v>
      </c>
      <c r="N31" s="22" t="s">
        <v>1</v>
      </c>
    </row>
    <row r="32" spans="2:14" ht="15.75" thickBot="1">
      <c r="G32" s="14" t="s">
        <v>35</v>
      </c>
      <c r="H32" s="15"/>
      <c r="I32" s="16"/>
    </row>
    <row r="33" spans="2:14">
      <c r="B33" s="38" t="s">
        <v>93</v>
      </c>
      <c r="C33" s="39"/>
      <c r="D33" s="39"/>
      <c r="E33" s="40"/>
      <c r="G33" s="14" t="s">
        <v>36</v>
      </c>
      <c r="H33" s="17">
        <f>H24</f>
        <v>4695.9652173913037</v>
      </c>
      <c r="I33" s="16" t="s">
        <v>1</v>
      </c>
      <c r="K33" s="15" t="s">
        <v>70</v>
      </c>
    </row>
    <row r="34" spans="2:14">
      <c r="B34" s="14" t="s">
        <v>88</v>
      </c>
      <c r="C34" s="15"/>
      <c r="D34" s="15">
        <f>D8*24</f>
        <v>108</v>
      </c>
      <c r="E34" s="16" t="s">
        <v>10</v>
      </c>
      <c r="G34" s="14" t="s">
        <v>43</v>
      </c>
      <c r="H34" s="15">
        <f>H28</f>
        <v>5112</v>
      </c>
      <c r="I34" s="16" t="s">
        <v>1</v>
      </c>
      <c r="K34" s="15" t="s">
        <v>71</v>
      </c>
    </row>
    <row r="35" spans="2:14">
      <c r="B35" s="14" t="s">
        <v>89</v>
      </c>
      <c r="C35" s="15"/>
      <c r="D35" s="15">
        <f>H13*14</f>
        <v>77</v>
      </c>
      <c r="E35" s="16" t="s">
        <v>10</v>
      </c>
      <c r="G35" s="14" t="s">
        <v>44</v>
      </c>
      <c r="H35" s="17">
        <f>H30</f>
        <v>3838.1538461538462</v>
      </c>
      <c r="I35" s="16" t="s">
        <v>1</v>
      </c>
      <c r="K35" t="s">
        <v>78</v>
      </c>
      <c r="M35" s="1">
        <f>M23 / (14*180)</f>
        <v>6.9444444444444446</v>
      </c>
      <c r="N35" t="s">
        <v>5</v>
      </c>
    </row>
    <row r="36" spans="2:14">
      <c r="B36" s="14" t="s">
        <v>90</v>
      </c>
      <c r="C36" s="15"/>
      <c r="D36" s="15"/>
      <c r="E36" s="16"/>
      <c r="G36" s="14" t="s">
        <v>74</v>
      </c>
      <c r="H36" s="15">
        <f>750</f>
        <v>750</v>
      </c>
      <c r="I36" s="16" t="s">
        <v>1</v>
      </c>
    </row>
    <row r="37" spans="2:14" ht="15.75" thickBot="1">
      <c r="B37" s="19" t="s">
        <v>91</v>
      </c>
      <c r="C37" s="41"/>
      <c r="D37" s="41"/>
      <c r="E37" s="42"/>
      <c r="G37" s="24" t="s">
        <v>42</v>
      </c>
      <c r="H37" s="21">
        <f>SUM(H33:H36)</f>
        <v>14396.119063545149</v>
      </c>
      <c r="I37" s="22" t="s">
        <v>1</v>
      </c>
    </row>
    <row r="38" spans="2:14" ht="15.75" thickBot="1"/>
    <row r="39" spans="2:14">
      <c r="B39" s="26" t="s">
        <v>37</v>
      </c>
      <c r="C39" s="27"/>
      <c r="D39" s="28">
        <f>D31-H37</f>
        <v>1109.6200668896327</v>
      </c>
      <c r="E39" s="27" t="s">
        <v>38</v>
      </c>
      <c r="F39" s="5"/>
      <c r="G39" s="27" t="s">
        <v>63</v>
      </c>
      <c r="H39" s="28">
        <f>D31-M31</f>
        <v>5752.173913043478</v>
      </c>
      <c r="I39" s="27" t="s">
        <v>57</v>
      </c>
      <c r="J39" s="6"/>
    </row>
    <row r="40" spans="2:14">
      <c r="B40" s="14"/>
      <c r="C40" s="15"/>
      <c r="D40" s="15"/>
      <c r="E40" s="15"/>
      <c r="F40" s="15"/>
      <c r="G40" s="15"/>
      <c r="H40" s="15"/>
      <c r="I40" s="15"/>
      <c r="J40" s="16"/>
    </row>
    <row r="41" spans="2:14">
      <c r="B41" s="14" t="s">
        <v>58</v>
      </c>
      <c r="C41" s="15"/>
      <c r="D41" s="15"/>
      <c r="E41" s="15"/>
      <c r="F41" s="15"/>
      <c r="G41" s="15" t="s">
        <v>64</v>
      </c>
      <c r="H41" s="15"/>
      <c r="I41" s="15"/>
      <c r="J41" s="16"/>
    </row>
    <row r="42" spans="2:14">
      <c r="B42" s="14" t="s">
        <v>39</v>
      </c>
      <c r="C42" s="15">
        <f>0.5 *11000</f>
        <v>5500</v>
      </c>
      <c r="D42" s="15" t="s">
        <v>1</v>
      </c>
      <c r="E42" s="15"/>
      <c r="F42" s="15"/>
      <c r="G42" s="15" t="s">
        <v>50</v>
      </c>
      <c r="H42" s="15">
        <f>M21*0.35</f>
        <v>11550</v>
      </c>
      <c r="I42" s="15" t="s">
        <v>1</v>
      </c>
      <c r="J42" s="16"/>
    </row>
    <row r="43" spans="2:14">
      <c r="B43" s="14" t="s">
        <v>40</v>
      </c>
      <c r="C43" s="15"/>
      <c r="D43" s="30">
        <f>C42/D39</f>
        <v>4.9566515279567778</v>
      </c>
      <c r="E43" s="15" t="s">
        <v>41</v>
      </c>
      <c r="F43" s="15"/>
      <c r="G43" s="15" t="s">
        <v>40</v>
      </c>
      <c r="H43" s="30">
        <f>H42/H39</f>
        <v>2.0079365079365079</v>
      </c>
      <c r="I43" s="15" t="s">
        <v>41</v>
      </c>
      <c r="J43" s="16"/>
    </row>
    <row r="44" spans="2:14">
      <c r="B44" s="14"/>
      <c r="C44" s="15"/>
      <c r="D44" s="15"/>
      <c r="E44" s="15"/>
      <c r="F44" s="15"/>
      <c r="G44" s="15"/>
      <c r="H44" s="15"/>
      <c r="I44" s="15"/>
      <c r="J44" s="16"/>
    </row>
    <row r="45" spans="2:14">
      <c r="B45" s="14" t="s">
        <v>59</v>
      </c>
      <c r="C45" s="15"/>
      <c r="D45" s="15">
        <v>10</v>
      </c>
      <c r="E45" s="15" t="s">
        <v>41</v>
      </c>
      <c r="F45" s="15"/>
      <c r="G45" s="15" t="s">
        <v>59</v>
      </c>
      <c r="H45" s="15">
        <v>20</v>
      </c>
      <c r="I45" s="15" t="s">
        <v>41</v>
      </c>
      <c r="J45" s="16"/>
    </row>
    <row r="46" spans="2:14">
      <c r="B46" s="14"/>
      <c r="C46" s="15"/>
      <c r="D46" s="15"/>
      <c r="E46" s="15"/>
      <c r="F46" s="15"/>
      <c r="G46" s="15"/>
      <c r="H46" s="15"/>
      <c r="I46" s="15"/>
      <c r="J46" s="16"/>
    </row>
    <row r="47" spans="2:14">
      <c r="B47" s="33" t="s">
        <v>76</v>
      </c>
      <c r="C47" s="31"/>
      <c r="D47" s="31"/>
      <c r="E47" s="32">
        <f>(D45-D43)*D39</f>
        <v>5596.2006688963265</v>
      </c>
      <c r="F47" s="35" t="s">
        <v>1</v>
      </c>
      <c r="G47" s="31" t="s">
        <v>76</v>
      </c>
      <c r="H47" s="31"/>
      <c r="I47" s="32">
        <f>(10-H43)*H39</f>
        <v>45971.739130434784</v>
      </c>
      <c r="J47" s="36" t="s">
        <v>1</v>
      </c>
    </row>
    <row r="48" spans="2:14" ht="15.75" thickBot="1">
      <c r="B48" s="7"/>
      <c r="C48" s="34"/>
      <c r="D48" s="34"/>
      <c r="E48" s="34"/>
      <c r="F48" s="8"/>
      <c r="G48" s="29" t="s">
        <v>77</v>
      </c>
      <c r="H48" s="29"/>
      <c r="I48" s="13">
        <f>(H45-H43)*H39</f>
        <v>103493.47826086957</v>
      </c>
      <c r="J48" s="9" t="s">
        <v>1</v>
      </c>
    </row>
  </sheetData>
  <mergeCells count="3">
    <mergeCell ref="B17:E17"/>
    <mergeCell ref="G17:I17"/>
    <mergeCell ref="K17:N17"/>
  </mergeCells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N53"/>
  <sheetViews>
    <sheetView workbookViewId="0">
      <selection activeCell="R25" sqref="R25"/>
    </sheetView>
  </sheetViews>
  <sheetFormatPr defaultRowHeight="15"/>
  <cols>
    <col min="1" max="1" width="2.7109375" customWidth="1"/>
    <col min="3" max="3" width="13.28515625" customWidth="1"/>
    <col min="4" max="4" width="10.7109375" customWidth="1"/>
    <col min="5" max="5" width="9" customWidth="1"/>
    <col min="6" max="6" width="5" customWidth="1"/>
    <col min="7" max="7" width="22.7109375" customWidth="1"/>
    <col min="9" max="9" width="7.85546875" customWidth="1"/>
    <col min="10" max="10" width="5" customWidth="1"/>
    <col min="12" max="12" width="11.42578125" customWidth="1"/>
    <col min="14" max="14" width="7.85546875" customWidth="1"/>
  </cols>
  <sheetData>
    <row r="1" spans="2:14" ht="18.75">
      <c r="B1" s="37" t="s">
        <v>60</v>
      </c>
    </row>
    <row r="2" spans="2:14">
      <c r="B2" t="s">
        <v>75</v>
      </c>
    </row>
    <row r="4" spans="2:14">
      <c r="B4" t="s">
        <v>14</v>
      </c>
      <c r="D4">
        <v>50</v>
      </c>
      <c r="E4" t="s">
        <v>5</v>
      </c>
      <c r="G4" t="s">
        <v>0</v>
      </c>
      <c r="H4">
        <v>1</v>
      </c>
      <c r="I4" t="s">
        <v>1</v>
      </c>
      <c r="K4" t="s">
        <v>48</v>
      </c>
      <c r="M4">
        <f>450</f>
        <v>450</v>
      </c>
      <c r="N4" t="s">
        <v>7</v>
      </c>
    </row>
    <row r="5" spans="2:14">
      <c r="B5" t="s">
        <v>21</v>
      </c>
      <c r="D5">
        <v>0.92</v>
      </c>
      <c r="G5" t="s">
        <v>2</v>
      </c>
      <c r="H5">
        <v>0.2</v>
      </c>
      <c r="I5" t="s">
        <v>96</v>
      </c>
      <c r="K5" t="s">
        <v>49</v>
      </c>
      <c r="M5">
        <v>150</v>
      </c>
      <c r="N5" t="s">
        <v>7</v>
      </c>
    </row>
    <row r="6" spans="2:14">
      <c r="G6" t="s">
        <v>85</v>
      </c>
      <c r="H6">
        <v>0.06</v>
      </c>
      <c r="I6" t="s">
        <v>96</v>
      </c>
      <c r="K6" t="s">
        <v>50</v>
      </c>
      <c r="M6">
        <v>60</v>
      </c>
      <c r="N6" t="s">
        <v>51</v>
      </c>
    </row>
    <row r="7" spans="2:14">
      <c r="B7" t="s">
        <v>3</v>
      </c>
      <c r="D7">
        <v>260</v>
      </c>
      <c r="E7" t="s">
        <v>54</v>
      </c>
      <c r="K7" t="s">
        <v>52</v>
      </c>
      <c r="M7">
        <v>40</v>
      </c>
      <c r="N7" t="s">
        <v>51</v>
      </c>
    </row>
    <row r="8" spans="2:14">
      <c r="B8" t="s">
        <v>4</v>
      </c>
      <c r="D8">
        <v>4.5</v>
      </c>
      <c r="E8" t="s">
        <v>5</v>
      </c>
      <c r="G8" t="s">
        <v>6</v>
      </c>
      <c r="H8">
        <v>350</v>
      </c>
      <c r="I8" t="s">
        <v>7</v>
      </c>
      <c r="K8" t="s">
        <v>72</v>
      </c>
      <c r="M8">
        <v>50</v>
      </c>
      <c r="N8" t="s">
        <v>53</v>
      </c>
    </row>
    <row r="9" spans="2:14">
      <c r="B9" t="s">
        <v>79</v>
      </c>
      <c r="D9">
        <v>50</v>
      </c>
      <c r="E9" t="s">
        <v>8</v>
      </c>
      <c r="K9" s="2" t="s">
        <v>73</v>
      </c>
    </row>
    <row r="10" spans="2:14">
      <c r="D10" s="3">
        <f>D9/3.6</f>
        <v>13.888888888888889</v>
      </c>
      <c r="E10" t="s">
        <v>9</v>
      </c>
    </row>
    <row r="11" spans="2:14">
      <c r="D11" s="3"/>
      <c r="K11" t="s">
        <v>66</v>
      </c>
    </row>
    <row r="12" spans="2:14">
      <c r="B12" s="4" t="s">
        <v>87</v>
      </c>
      <c r="K12" t="s">
        <v>67</v>
      </c>
    </row>
    <row r="13" spans="2:14">
      <c r="B13" t="s">
        <v>16</v>
      </c>
      <c r="D13">
        <v>0.26</v>
      </c>
      <c r="G13" s="1" t="s">
        <v>17</v>
      </c>
      <c r="H13">
        <f>5.5*2</f>
        <v>11</v>
      </c>
      <c r="I13" t="s">
        <v>5</v>
      </c>
      <c r="K13" t="s">
        <v>68</v>
      </c>
    </row>
    <row r="14" spans="2:14">
      <c r="B14" t="s">
        <v>15</v>
      </c>
      <c r="D14">
        <v>0.55000000000000004</v>
      </c>
      <c r="G14" s="1" t="s">
        <v>18</v>
      </c>
      <c r="H14">
        <f>12.3*2</f>
        <v>24.6</v>
      </c>
      <c r="I14" t="s">
        <v>5</v>
      </c>
    </row>
    <row r="15" spans="2:14">
      <c r="B15" t="s">
        <v>39</v>
      </c>
      <c r="D15">
        <v>13000</v>
      </c>
      <c r="E15" t="s">
        <v>1</v>
      </c>
      <c r="G15" s="1"/>
    </row>
    <row r="16" spans="2:14" ht="15.75" thickBot="1"/>
    <row r="17" spans="2:14">
      <c r="B17" s="10" t="s">
        <v>26</v>
      </c>
      <c r="C17" s="11"/>
      <c r="D17" s="11"/>
      <c r="E17" s="12"/>
      <c r="G17" s="10" t="s">
        <v>69</v>
      </c>
      <c r="H17" s="11"/>
      <c r="I17" s="12"/>
      <c r="K17" s="10" t="s">
        <v>47</v>
      </c>
      <c r="L17" s="11"/>
      <c r="M17" s="11"/>
      <c r="N17" s="12"/>
    </row>
    <row r="18" spans="2:14" ht="7.5" customHeight="1">
      <c r="B18" s="14"/>
      <c r="C18" s="15"/>
      <c r="D18" s="15"/>
      <c r="E18" s="16"/>
      <c r="G18" s="14"/>
      <c r="H18" s="15"/>
      <c r="I18" s="16"/>
      <c r="K18" s="14"/>
      <c r="L18" s="15"/>
      <c r="M18" s="15"/>
      <c r="N18" s="16"/>
    </row>
    <row r="19" spans="2:14">
      <c r="B19" s="14" t="s">
        <v>3</v>
      </c>
      <c r="C19" s="15"/>
      <c r="D19" s="15">
        <f>D7*H8</f>
        <v>91000</v>
      </c>
      <c r="E19" s="16" t="s">
        <v>11</v>
      </c>
      <c r="G19" s="14" t="s">
        <v>61</v>
      </c>
      <c r="H19" s="15">
        <f>H14*14*180</f>
        <v>61992.000000000007</v>
      </c>
      <c r="I19" s="16" t="s">
        <v>27</v>
      </c>
      <c r="K19" s="14" t="s">
        <v>50</v>
      </c>
      <c r="L19" s="15"/>
      <c r="M19" s="15">
        <f>M4*M6</f>
        <v>27000</v>
      </c>
      <c r="N19" s="16" t="s">
        <v>1</v>
      </c>
    </row>
    <row r="20" spans="2:14">
      <c r="B20" s="14" t="s">
        <v>13</v>
      </c>
      <c r="C20" s="15"/>
      <c r="D20" s="17">
        <f>D$19/($D$10*$D$5)</f>
        <v>7121.7391304347821</v>
      </c>
      <c r="E20" s="16" t="s">
        <v>19</v>
      </c>
      <c r="G20" s="14" t="s">
        <v>28</v>
      </c>
      <c r="H20" s="15">
        <v>0</v>
      </c>
      <c r="I20" s="16" t="s">
        <v>1</v>
      </c>
      <c r="K20" s="14" t="s">
        <v>52</v>
      </c>
      <c r="L20" s="15"/>
      <c r="M20" s="15">
        <f>M5*M7</f>
        <v>6000</v>
      </c>
      <c r="N20" s="16" t="s">
        <v>1</v>
      </c>
    </row>
    <row r="21" spans="2:14">
      <c r="B21" s="14"/>
      <c r="C21" s="15"/>
      <c r="D21" s="18" t="s">
        <v>20</v>
      </c>
      <c r="E21" s="16"/>
      <c r="G21" s="23" t="s">
        <v>46</v>
      </c>
      <c r="H21" s="15"/>
      <c r="I21" s="16"/>
      <c r="K21" s="14"/>
      <c r="L21" s="15" t="s">
        <v>42</v>
      </c>
      <c r="M21" s="15">
        <f>M19+M20</f>
        <v>33000</v>
      </c>
      <c r="N21" s="16" t="s">
        <v>1</v>
      </c>
    </row>
    <row r="22" spans="2:14">
      <c r="B22" s="14" t="s">
        <v>29</v>
      </c>
      <c r="C22" s="15"/>
      <c r="D22" s="17">
        <f>D20*H4</f>
        <v>7121.7391304347821</v>
      </c>
      <c r="E22" s="16" t="s">
        <v>1</v>
      </c>
      <c r="G22" s="14" t="s">
        <v>62</v>
      </c>
      <c r="H22" s="15">
        <f>D19-H19</f>
        <v>29007.999999999993</v>
      </c>
      <c r="I22" s="16" t="s">
        <v>11</v>
      </c>
      <c r="K22" s="14"/>
      <c r="L22" s="15"/>
      <c r="M22" s="15"/>
      <c r="N22" s="16"/>
    </row>
    <row r="23" spans="2:14">
      <c r="B23" s="14"/>
      <c r="C23" s="15"/>
      <c r="D23" s="15"/>
      <c r="E23" s="16"/>
      <c r="G23" s="14" t="s">
        <v>30</v>
      </c>
      <c r="H23" s="17">
        <f>H$22/($D$10*$D$5)</f>
        <v>2270.1913043478253</v>
      </c>
      <c r="I23" s="16" t="s">
        <v>19</v>
      </c>
      <c r="K23" s="14" t="s">
        <v>3</v>
      </c>
      <c r="L23" s="15"/>
      <c r="M23" s="15">
        <f>H8*M8</f>
        <v>17500</v>
      </c>
      <c r="N23" s="16" t="s">
        <v>55</v>
      </c>
    </row>
    <row r="24" spans="2:14">
      <c r="B24" s="14" t="s">
        <v>4</v>
      </c>
      <c r="C24" s="15"/>
      <c r="D24" s="15">
        <f>D8*24*365</f>
        <v>39420</v>
      </c>
      <c r="E24" s="16" t="s">
        <v>10</v>
      </c>
      <c r="G24" s="14" t="s">
        <v>29</v>
      </c>
      <c r="H24" s="17">
        <f>H23*H4</f>
        <v>2270.1913043478253</v>
      </c>
      <c r="I24" s="16" t="s">
        <v>1</v>
      </c>
      <c r="K24" s="14" t="s">
        <v>13</v>
      </c>
      <c r="L24" s="15"/>
      <c r="M24" s="17">
        <f>M23/(D5*D10)</f>
        <v>1369.5652173913043</v>
      </c>
      <c r="N24" s="16" t="s">
        <v>19</v>
      </c>
    </row>
    <row r="25" spans="2:14">
      <c r="B25" s="14" t="s">
        <v>12</v>
      </c>
      <c r="C25" s="15"/>
      <c r="D25" s="15">
        <f>D24*H5</f>
        <v>7884</v>
      </c>
      <c r="E25" s="16" t="s">
        <v>1</v>
      </c>
      <c r="G25" s="14"/>
      <c r="H25" s="15"/>
      <c r="I25" s="16"/>
      <c r="K25" s="14" t="s">
        <v>56</v>
      </c>
      <c r="L25" s="15"/>
      <c r="M25" s="17">
        <f>M24*H4</f>
        <v>1369.5652173913043</v>
      </c>
      <c r="N25" s="16" t="s">
        <v>1</v>
      </c>
    </row>
    <row r="26" spans="2:14">
      <c r="B26" s="14" t="s">
        <v>81</v>
      </c>
      <c r="C26" s="15"/>
      <c r="D26" s="15">
        <f>D24/365</f>
        <v>108</v>
      </c>
      <c r="E26" s="16" t="s">
        <v>10</v>
      </c>
      <c r="G26" s="14" t="s">
        <v>33</v>
      </c>
      <c r="H26" s="15">
        <f>H13*180*14</f>
        <v>27720</v>
      </c>
      <c r="I26" s="16" t="s">
        <v>10</v>
      </c>
      <c r="K26" s="14"/>
      <c r="L26" s="15"/>
      <c r="M26" s="15"/>
      <c r="N26" s="16"/>
    </row>
    <row r="27" spans="2:14">
      <c r="B27" s="14"/>
      <c r="C27" s="15"/>
      <c r="D27" s="15"/>
      <c r="E27" s="16"/>
      <c r="G27" s="14" t="s">
        <v>80</v>
      </c>
      <c r="H27" s="15">
        <f>H13*14</f>
        <v>154</v>
      </c>
      <c r="I27" s="16" t="s">
        <v>10</v>
      </c>
      <c r="K27" s="14"/>
      <c r="L27" s="15"/>
      <c r="M27" s="15"/>
      <c r="N27" s="16"/>
    </row>
    <row r="28" spans="2:14">
      <c r="B28" s="14"/>
      <c r="C28" s="15"/>
      <c r="D28" s="15"/>
      <c r="E28" s="16"/>
      <c r="G28" s="14" t="s">
        <v>82</v>
      </c>
      <c r="H28" s="15">
        <f>D26</f>
        <v>108</v>
      </c>
      <c r="I28" s="16" t="s">
        <v>10</v>
      </c>
      <c r="K28" s="14"/>
      <c r="L28" s="15"/>
      <c r="M28" s="15"/>
      <c r="N28" s="16"/>
    </row>
    <row r="29" spans="2:14">
      <c r="B29" s="14"/>
      <c r="C29" s="15"/>
      <c r="D29" s="15"/>
      <c r="E29" s="16"/>
      <c r="G29" s="14" t="s">
        <v>83</v>
      </c>
      <c r="H29" s="15">
        <f>H27-H28</f>
        <v>46</v>
      </c>
      <c r="I29" s="16" t="s">
        <v>10</v>
      </c>
      <c r="K29" s="14"/>
      <c r="L29" s="15"/>
      <c r="M29" s="15"/>
      <c r="N29" s="16"/>
    </row>
    <row r="30" spans="2:14">
      <c r="B30" s="14" t="s">
        <v>22</v>
      </c>
      <c r="C30" s="15"/>
      <c r="D30" s="15"/>
      <c r="E30" s="16"/>
      <c r="G30" s="14" t="s">
        <v>34</v>
      </c>
      <c r="H30" s="15">
        <f>H28*180*H5</f>
        <v>3888</v>
      </c>
      <c r="I30" s="16" t="s">
        <v>1</v>
      </c>
      <c r="K30" s="14" t="s">
        <v>22</v>
      </c>
      <c r="L30" s="15"/>
      <c r="M30" s="15"/>
      <c r="N30" s="16"/>
    </row>
    <row r="31" spans="2:14">
      <c r="B31" s="14"/>
      <c r="C31" s="15"/>
      <c r="D31" s="15"/>
      <c r="E31" s="16"/>
      <c r="G31" s="14" t="s">
        <v>84</v>
      </c>
      <c r="H31" s="15">
        <f>H29*180*H6</f>
        <v>496.79999999999995</v>
      </c>
      <c r="I31" s="16" t="s">
        <v>1</v>
      </c>
      <c r="K31" s="14"/>
      <c r="L31" s="15"/>
      <c r="M31" s="15"/>
      <c r="N31" s="16"/>
    </row>
    <row r="32" spans="2:14">
      <c r="B32" s="14" t="s">
        <v>23</v>
      </c>
      <c r="C32" s="15"/>
      <c r="D32" s="17">
        <f>D22</f>
        <v>7121.7391304347821</v>
      </c>
      <c r="E32" s="16" t="s">
        <v>1</v>
      </c>
      <c r="G32" s="14" t="s">
        <v>45</v>
      </c>
      <c r="H32" s="15">
        <f>(D24-H28*180)*H5</f>
        <v>3996</v>
      </c>
      <c r="I32" s="16" t="s">
        <v>1</v>
      </c>
      <c r="K32" s="14" t="s">
        <v>23</v>
      </c>
      <c r="L32" s="15"/>
      <c r="M32" s="25">
        <f>M25</f>
        <v>1369.5652173913043</v>
      </c>
      <c r="N32" s="16" t="s">
        <v>1</v>
      </c>
    </row>
    <row r="33" spans="2:14">
      <c r="B33" s="14" t="s">
        <v>24</v>
      </c>
      <c r="C33" s="15"/>
      <c r="D33" s="15">
        <f>D25</f>
        <v>7884</v>
      </c>
      <c r="E33" s="16" t="s">
        <v>1</v>
      </c>
      <c r="G33" s="14" t="s">
        <v>31</v>
      </c>
      <c r="H33" s="17">
        <f>H26/(D10*D13)</f>
        <v>7676.3076923076924</v>
      </c>
      <c r="I33" s="16" t="s">
        <v>19</v>
      </c>
      <c r="K33" s="14" t="s">
        <v>24</v>
      </c>
      <c r="L33" s="15"/>
      <c r="M33" s="15">
        <f>D33</f>
        <v>7884</v>
      </c>
      <c r="N33" s="16" t="s">
        <v>1</v>
      </c>
    </row>
    <row r="34" spans="2:14">
      <c r="B34" s="14" t="s">
        <v>25</v>
      </c>
      <c r="C34" s="15"/>
      <c r="D34" s="15">
        <v>500</v>
      </c>
      <c r="E34" s="16" t="s">
        <v>1</v>
      </c>
      <c r="G34" s="14" t="s">
        <v>32</v>
      </c>
      <c r="H34" s="17">
        <f>H33*H4</f>
        <v>7676.3076923076924</v>
      </c>
      <c r="I34" s="16" t="s">
        <v>1</v>
      </c>
      <c r="K34" s="14" t="s">
        <v>25</v>
      </c>
      <c r="L34" s="15"/>
      <c r="M34" s="15">
        <v>500</v>
      </c>
      <c r="N34" s="16" t="s">
        <v>1</v>
      </c>
    </row>
    <row r="35" spans="2:14" ht="15.75" thickBot="1">
      <c r="B35" s="19"/>
      <c r="C35" s="20" t="s">
        <v>42</v>
      </c>
      <c r="D35" s="21">
        <f>SUM(D32:D34)</f>
        <v>15505.739130434782</v>
      </c>
      <c r="E35" s="22" t="s">
        <v>1</v>
      </c>
      <c r="G35" s="14"/>
      <c r="H35" s="15"/>
      <c r="I35" s="16"/>
      <c r="K35" s="19"/>
      <c r="L35" s="20" t="s">
        <v>42</v>
      </c>
      <c r="M35" s="21">
        <f>SUM(M32:M34)</f>
        <v>9753.565217391304</v>
      </c>
      <c r="N35" s="22" t="s">
        <v>1</v>
      </c>
    </row>
    <row r="36" spans="2:14" ht="15.75" thickBot="1">
      <c r="G36" s="14" t="s">
        <v>35</v>
      </c>
      <c r="H36" s="15"/>
      <c r="I36" s="16"/>
    </row>
    <row r="37" spans="2:14">
      <c r="B37" s="38" t="s">
        <v>93</v>
      </c>
      <c r="C37" s="39"/>
      <c r="D37" s="39"/>
      <c r="E37" s="40"/>
      <c r="G37" s="14" t="s">
        <v>36</v>
      </c>
      <c r="H37" s="17">
        <f>H24</f>
        <v>2270.1913043478253</v>
      </c>
      <c r="I37" s="16" t="s">
        <v>1</v>
      </c>
      <c r="K37" s="15" t="s">
        <v>70</v>
      </c>
    </row>
    <row r="38" spans="2:14">
      <c r="B38" s="14" t="s">
        <v>88</v>
      </c>
      <c r="C38" s="15"/>
      <c r="D38" s="15">
        <f>D8*24</f>
        <v>108</v>
      </c>
      <c r="E38" s="16" t="s">
        <v>10</v>
      </c>
      <c r="G38" s="14" t="s">
        <v>43</v>
      </c>
      <c r="H38" s="15">
        <f>H32</f>
        <v>3996</v>
      </c>
      <c r="I38" s="16" t="s">
        <v>1</v>
      </c>
      <c r="K38" s="15" t="s">
        <v>71</v>
      </c>
    </row>
    <row r="39" spans="2:14">
      <c r="B39" s="14" t="s">
        <v>89</v>
      </c>
      <c r="C39" s="15"/>
      <c r="D39" s="15">
        <f>H27</f>
        <v>154</v>
      </c>
      <c r="E39" s="16" t="s">
        <v>10</v>
      </c>
      <c r="G39" s="14" t="s">
        <v>86</v>
      </c>
      <c r="H39" s="15">
        <f>-H31</f>
        <v>-496.79999999999995</v>
      </c>
      <c r="I39" s="16" t="s">
        <v>1</v>
      </c>
      <c r="K39" s="15"/>
    </row>
    <row r="40" spans="2:14">
      <c r="B40" s="14" t="s">
        <v>94</v>
      </c>
      <c r="C40" s="15"/>
      <c r="D40" s="15"/>
      <c r="E40" s="16"/>
      <c r="G40" s="14" t="s">
        <v>44</v>
      </c>
      <c r="H40" s="17">
        <f>H34</f>
        <v>7676.3076923076924</v>
      </c>
      <c r="I40" s="16" t="s">
        <v>1</v>
      </c>
      <c r="K40" t="s">
        <v>78</v>
      </c>
      <c r="M40" s="1">
        <f>M23 / (14*180)</f>
        <v>6.9444444444444446</v>
      </c>
      <c r="N40" t="s">
        <v>5</v>
      </c>
    </row>
    <row r="41" spans="2:14" ht="15.75" thickBot="1">
      <c r="B41" s="19" t="s">
        <v>95</v>
      </c>
      <c r="C41" s="41"/>
      <c r="D41" s="41"/>
      <c r="E41" s="42"/>
      <c r="G41" s="14" t="s">
        <v>74</v>
      </c>
      <c r="H41" s="15">
        <f>750</f>
        <v>750</v>
      </c>
      <c r="I41" s="16" t="s">
        <v>1</v>
      </c>
    </row>
    <row r="42" spans="2:14" ht="15.75" thickBot="1">
      <c r="G42" s="24" t="s">
        <v>42</v>
      </c>
      <c r="H42" s="21">
        <f>SUM(H37:H41)</f>
        <v>14195.698996655517</v>
      </c>
      <c r="I42" s="22" t="s">
        <v>1</v>
      </c>
    </row>
    <row r="43" spans="2:14" ht="15.75" thickBot="1"/>
    <row r="44" spans="2:14">
      <c r="B44" s="26" t="s">
        <v>37</v>
      </c>
      <c r="C44" s="27"/>
      <c r="D44" s="28">
        <f>D35-H42</f>
        <v>1310.0401337792646</v>
      </c>
      <c r="E44" s="27" t="s">
        <v>38</v>
      </c>
      <c r="F44" s="5"/>
      <c r="G44" s="27" t="s">
        <v>63</v>
      </c>
      <c r="H44" s="28">
        <f>D35-M35</f>
        <v>5752.173913043478</v>
      </c>
      <c r="I44" s="27" t="s">
        <v>57</v>
      </c>
      <c r="J44" s="6"/>
    </row>
    <row r="45" spans="2:14">
      <c r="B45" s="14"/>
      <c r="C45" s="15"/>
      <c r="D45" s="15"/>
      <c r="E45" s="15"/>
      <c r="F45" s="15"/>
      <c r="G45" s="15"/>
      <c r="H45" s="15"/>
      <c r="I45" s="15"/>
      <c r="J45" s="16"/>
    </row>
    <row r="46" spans="2:14">
      <c r="B46" s="14" t="s">
        <v>58</v>
      </c>
      <c r="C46" s="15"/>
      <c r="D46" s="15"/>
      <c r="E46" s="15"/>
      <c r="F46" s="15"/>
      <c r="G46" s="15" t="s">
        <v>64</v>
      </c>
      <c r="H46" s="15"/>
      <c r="I46" s="15"/>
      <c r="J46" s="16"/>
    </row>
    <row r="47" spans="2:14">
      <c r="B47" s="14" t="s">
        <v>39</v>
      </c>
      <c r="C47" s="15">
        <f>0.5 *11000</f>
        <v>5500</v>
      </c>
      <c r="D47" s="15" t="s">
        <v>1</v>
      </c>
      <c r="E47" s="15"/>
      <c r="F47" s="15"/>
      <c r="G47" s="15" t="s">
        <v>50</v>
      </c>
      <c r="H47" s="15">
        <f>M21*0.35</f>
        <v>11550</v>
      </c>
      <c r="I47" s="15" t="s">
        <v>1</v>
      </c>
      <c r="J47" s="16"/>
    </row>
    <row r="48" spans="2:14">
      <c r="B48" s="14" t="s">
        <v>40</v>
      </c>
      <c r="C48" s="15"/>
      <c r="D48" s="30">
        <f>C47/D44</f>
        <v>4.1983446599710996</v>
      </c>
      <c r="E48" s="15" t="s">
        <v>41</v>
      </c>
      <c r="F48" s="15"/>
      <c r="G48" s="15" t="s">
        <v>40</v>
      </c>
      <c r="H48" s="30">
        <f>H47/H44</f>
        <v>2.0079365079365079</v>
      </c>
      <c r="I48" s="15" t="s">
        <v>41</v>
      </c>
      <c r="J48" s="16"/>
    </row>
    <row r="49" spans="2:10">
      <c r="B49" s="14"/>
      <c r="C49" s="15"/>
      <c r="D49" s="15"/>
      <c r="E49" s="15"/>
      <c r="F49" s="15"/>
      <c r="G49" s="15"/>
      <c r="H49" s="15"/>
      <c r="I49" s="15"/>
      <c r="J49" s="16"/>
    </row>
    <row r="50" spans="2:10">
      <c r="B50" s="14" t="s">
        <v>59</v>
      </c>
      <c r="C50" s="15"/>
      <c r="D50" s="15">
        <v>10</v>
      </c>
      <c r="E50" s="15" t="s">
        <v>41</v>
      </c>
      <c r="F50" s="15"/>
      <c r="G50" s="15" t="s">
        <v>59</v>
      </c>
      <c r="H50" s="15">
        <v>20</v>
      </c>
      <c r="I50" s="15" t="s">
        <v>41</v>
      </c>
      <c r="J50" s="16"/>
    </row>
    <row r="51" spans="2:10">
      <c r="B51" s="14"/>
      <c r="C51" s="15"/>
      <c r="D51" s="15"/>
      <c r="E51" s="15"/>
      <c r="F51" s="15"/>
      <c r="G51" s="15"/>
      <c r="H51" s="15"/>
      <c r="I51" s="15"/>
      <c r="J51" s="16"/>
    </row>
    <row r="52" spans="2:10">
      <c r="B52" s="33" t="s">
        <v>76</v>
      </c>
      <c r="C52" s="31"/>
      <c r="D52" s="31"/>
      <c r="E52" s="32">
        <f>(D50-D48)*D44</f>
        <v>7600.4013377926458</v>
      </c>
      <c r="F52" s="35" t="s">
        <v>1</v>
      </c>
      <c r="G52" s="31" t="s">
        <v>76</v>
      </c>
      <c r="H52" s="31"/>
      <c r="I52" s="32">
        <f>(10-H48)*H44</f>
        <v>45971.739130434784</v>
      </c>
      <c r="J52" s="36" t="s">
        <v>1</v>
      </c>
    </row>
    <row r="53" spans="2:10" ht="15.75" thickBot="1">
      <c r="B53" s="7"/>
      <c r="C53" s="34"/>
      <c r="D53" s="34"/>
      <c r="E53" s="34"/>
      <c r="F53" s="8"/>
      <c r="G53" s="29" t="s">
        <v>77</v>
      </c>
      <c r="H53" s="29"/>
      <c r="I53" s="13">
        <f>(H50-H48)*H44</f>
        <v>103493.47826086957</v>
      </c>
      <c r="J53" s="9" t="s">
        <v>1</v>
      </c>
    </row>
  </sheetData>
  <mergeCells count="3">
    <mergeCell ref="B17:E17"/>
    <mergeCell ref="G17:I17"/>
    <mergeCell ref="K17:N17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condominio classe D</vt:lpstr>
      <vt:lpstr>condominio classe G 1</vt:lpstr>
      <vt:lpstr>condominio classe G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ldb</dc:creator>
  <cp:lastModifiedBy>ldb</cp:lastModifiedBy>
  <cp:lastPrinted>2018-05-09T12:47:06Z</cp:lastPrinted>
  <dcterms:created xsi:type="dcterms:W3CDTF">2018-05-09T11:01:33Z</dcterms:created>
  <dcterms:modified xsi:type="dcterms:W3CDTF">2018-05-09T12:47:55Z</dcterms:modified>
</cp:coreProperties>
</file>