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72" windowWidth="15252" windowHeight="13200"/>
  </bookViews>
  <sheets>
    <sheet name="dimensionamento" sheetId="1" r:id="rId1"/>
    <sheet name="dettaglio conti" sheetId="2" r:id="rId2"/>
  </sheets>
  <calcPr calcId="125725"/>
</workbook>
</file>

<file path=xl/calcChain.xml><?xml version="1.0" encoding="utf-8"?>
<calcChain xmlns="http://schemas.openxmlformats.org/spreadsheetml/2006/main">
  <c r="E24" i="2"/>
  <c r="F25" s="1"/>
  <c r="H20"/>
  <c r="F20"/>
  <c r="F18"/>
  <c r="J16"/>
  <c r="H16"/>
  <c r="E13"/>
  <c r="E12"/>
  <c r="C10"/>
  <c r="D10" s="1"/>
  <c r="E10" s="1"/>
  <c r="B3"/>
  <c r="E14" s="1"/>
  <c r="E63" i="1"/>
  <c r="E57"/>
  <c r="E58"/>
  <c r="E59"/>
  <c r="E60"/>
  <c r="E61"/>
  <c r="E56"/>
  <c r="I63"/>
  <c r="H57"/>
  <c r="H58"/>
  <c r="H59"/>
  <c r="H60"/>
  <c r="H61"/>
  <c r="H63"/>
  <c r="H56"/>
  <c r="G57"/>
  <c r="G58"/>
  <c r="G59"/>
  <c r="G60"/>
  <c r="G61"/>
  <c r="G63"/>
  <c r="G56"/>
  <c r="F57"/>
  <c r="F58"/>
  <c r="F59"/>
  <c r="F60"/>
  <c r="F61"/>
  <c r="F63"/>
  <c r="F56"/>
  <c r="G42"/>
  <c r="B32"/>
  <c r="E36"/>
  <c r="E37"/>
  <c r="E38"/>
  <c r="E39"/>
  <c r="E40"/>
  <c r="E42"/>
  <c r="E35"/>
  <c r="D42"/>
  <c r="D63" s="1"/>
  <c r="C12"/>
  <c r="D12" s="1"/>
  <c r="C11"/>
  <c r="D11" s="1"/>
  <c r="C10"/>
  <c r="F10" s="1"/>
  <c r="H10" s="1"/>
  <c r="I10" s="1"/>
  <c r="D35" s="1"/>
  <c r="B15"/>
  <c r="C15" s="1"/>
  <c r="D15" s="1"/>
  <c r="B14"/>
  <c r="C14" s="1"/>
  <c r="D14" s="1"/>
  <c r="B3"/>
  <c r="B13"/>
  <c r="C13" s="1"/>
  <c r="D13" s="1"/>
  <c r="F10" i="2" l="1"/>
  <c r="J56" i="1"/>
  <c r="E12"/>
  <c r="J58"/>
  <c r="J59"/>
  <c r="J60"/>
  <c r="J61"/>
  <c r="J63"/>
  <c r="J57"/>
  <c r="D56"/>
  <c r="G35"/>
  <c r="B35"/>
  <c r="B56" s="1"/>
  <c r="D10"/>
  <c r="E10" s="1"/>
  <c r="E11"/>
  <c r="E13"/>
  <c r="J10"/>
  <c r="C35" s="1"/>
  <c r="F13"/>
  <c r="B38" s="1"/>
  <c r="B59" s="1"/>
  <c r="E14"/>
  <c r="F14"/>
  <c r="B39" s="1"/>
  <c r="B60" s="1"/>
  <c r="F12"/>
  <c r="B37" s="1"/>
  <c r="B58" s="1"/>
  <c r="F11"/>
  <c r="B36" s="1"/>
  <c r="B57" s="1"/>
  <c r="H10" i="2" l="1"/>
  <c r="J10" s="1"/>
  <c r="C56" i="1"/>
  <c r="K56" s="1"/>
  <c r="F35"/>
  <c r="H35" s="1"/>
  <c r="I35" s="1"/>
  <c r="H13"/>
  <c r="I13" s="1"/>
  <c r="H12"/>
  <c r="I12" s="1"/>
  <c r="H11"/>
  <c r="I11" s="1"/>
  <c r="H14"/>
  <c r="I14" s="1"/>
  <c r="F15"/>
  <c r="E15"/>
  <c r="J35" l="1"/>
  <c r="L56"/>
  <c r="M56" s="1"/>
  <c r="N56" s="1"/>
  <c r="J11"/>
  <c r="C36" s="1"/>
  <c r="D36"/>
  <c r="J14"/>
  <c r="C39" s="1"/>
  <c r="D39"/>
  <c r="J12"/>
  <c r="C37" s="1"/>
  <c r="D37"/>
  <c r="F17"/>
  <c r="B42" s="1"/>
  <c r="B63" s="1"/>
  <c r="B71" s="1"/>
  <c r="B40"/>
  <c r="B61" s="1"/>
  <c r="J13"/>
  <c r="C38" s="1"/>
  <c r="D38"/>
  <c r="H15"/>
  <c r="I15" s="1"/>
  <c r="J17" l="1"/>
  <c r="C42" s="1"/>
  <c r="F42" s="1"/>
  <c r="H42" s="1"/>
  <c r="I42" s="1"/>
  <c r="D60"/>
  <c r="G39"/>
  <c r="C57"/>
  <c r="K57" s="1"/>
  <c r="F36"/>
  <c r="D59"/>
  <c r="G38"/>
  <c r="D57"/>
  <c r="H36"/>
  <c r="I36" s="1"/>
  <c r="G36"/>
  <c r="J15"/>
  <c r="C40" s="1"/>
  <c r="D40"/>
  <c r="D58"/>
  <c r="G37"/>
  <c r="C59"/>
  <c r="K59" s="1"/>
  <c r="F38"/>
  <c r="H38" s="1"/>
  <c r="I38" s="1"/>
  <c r="C60"/>
  <c r="K60" s="1"/>
  <c r="F39"/>
  <c r="H39" s="1"/>
  <c r="I39" s="1"/>
  <c r="H17"/>
  <c r="C58"/>
  <c r="K58" s="1"/>
  <c r="F37"/>
  <c r="H37" s="1"/>
  <c r="I37" s="1"/>
  <c r="C63" l="1"/>
  <c r="K63" s="1"/>
  <c r="J39"/>
  <c r="L60"/>
  <c r="M60" s="1"/>
  <c r="N60" s="1"/>
  <c r="J38"/>
  <c r="L59"/>
  <c r="J37"/>
  <c r="L58"/>
  <c r="M58" s="1"/>
  <c r="N58" s="1"/>
  <c r="J42"/>
  <c r="L63"/>
  <c r="M59"/>
  <c r="N59" s="1"/>
  <c r="F40"/>
  <c r="C61"/>
  <c r="K61" s="1"/>
  <c r="J36"/>
  <c r="L57"/>
  <c r="M57" s="1"/>
  <c r="N57" s="1"/>
  <c r="G40"/>
  <c r="D61"/>
  <c r="H40"/>
  <c r="I40" s="1"/>
  <c r="M63" l="1"/>
  <c r="N63" s="1"/>
  <c r="J40"/>
  <c r="L61"/>
  <c r="M61" s="1"/>
  <c r="N61" s="1"/>
  <c r="M65" l="1"/>
  <c r="N65" s="1"/>
</calcChain>
</file>

<file path=xl/sharedStrings.xml><?xml version="1.0" encoding="utf-8"?>
<sst xmlns="http://schemas.openxmlformats.org/spreadsheetml/2006/main" count="149" uniqueCount="102">
  <si>
    <t>Locali</t>
  </si>
  <si>
    <t>Portata acqua Kg/s</t>
  </si>
  <si>
    <t>D int. tubo mm</t>
  </si>
  <si>
    <t>m</t>
  </si>
  <si>
    <t>w</t>
  </si>
  <si>
    <t>Larghezza radiatore m</t>
  </si>
  <si>
    <t>CALDAIA</t>
  </si>
  <si>
    <t>Camera 1  modello 800</t>
  </si>
  <si>
    <t>w/m2</t>
  </si>
  <si>
    <t>Camera 2 modello 800</t>
  </si>
  <si>
    <t>Bagno * modello 800</t>
  </si>
  <si>
    <t>Rip + dis. modello 800</t>
  </si>
  <si>
    <t>Sala + cucina R1 modello 800</t>
  </si>
  <si>
    <t>Sala + cucina R2 modello 800</t>
  </si>
  <si>
    <t>Bagno</t>
  </si>
  <si>
    <t>Fabbisogno MAX. abitazione</t>
  </si>
  <si>
    <t>Tabella commerciali tubi multistrato</t>
  </si>
  <si>
    <t>Sigla</t>
  </si>
  <si>
    <t>14x2</t>
  </si>
  <si>
    <t>16x2</t>
  </si>
  <si>
    <t>18x2</t>
  </si>
  <si>
    <t>20x2</t>
  </si>
  <si>
    <t>25x3</t>
  </si>
  <si>
    <t>numero di Re</t>
  </si>
  <si>
    <t>mm</t>
  </si>
  <si>
    <t>Interno mm</t>
  </si>
  <si>
    <t>Esterno mm</t>
  </si>
  <si>
    <r>
      <rPr>
        <sz val="16"/>
        <color theme="1"/>
        <rFont val="Calibri"/>
        <family val="2"/>
      </rPr>
      <t>ɛ</t>
    </r>
    <r>
      <rPr>
        <sz val="11"/>
        <color theme="1"/>
        <rFont val="Calibri"/>
        <family val="2"/>
        <scheme val="minor"/>
      </rPr>
      <t>/D</t>
    </r>
  </si>
  <si>
    <r>
      <t>Rugosità PEX</t>
    </r>
    <r>
      <rPr>
        <sz val="14"/>
        <color theme="1"/>
        <rFont val="Calibri"/>
        <family val="2"/>
        <scheme val="minor"/>
      </rPr>
      <t xml:space="preserve">  ɛ</t>
    </r>
  </si>
  <si>
    <t>CALCOLO PERDITE PER ATTRITO NEI TUBI</t>
  </si>
  <si>
    <t>DIMENSIONAMENTO RADIATORI E TUBATURE</t>
  </si>
  <si>
    <t>* In bagno si può sostituire radiatore con un termoarredo o aggiungere un termoarredo in SUPPORTO al radiatore</t>
  </si>
  <si>
    <t xml:space="preserve">Camera 1 </t>
  </si>
  <si>
    <t>Camera 2</t>
  </si>
  <si>
    <t>Rip + dis.</t>
  </si>
  <si>
    <t>Sala + cucina R1</t>
  </si>
  <si>
    <t>Sala + cucina R2</t>
  </si>
  <si>
    <t>velocità effett. m/s</t>
  </si>
  <si>
    <t>Lunghezza tubi m</t>
  </si>
  <si>
    <t>D int. eff. mm</t>
  </si>
  <si>
    <t>per trovare il diametro maggiore più vicino a quello teorico dalla</t>
  </si>
  <si>
    <t>tabella dei tubi commerciali</t>
  </si>
  <si>
    <t>Velocità m/s</t>
  </si>
  <si>
    <t>Coeff. attrito</t>
  </si>
  <si>
    <r>
      <t xml:space="preserve">Perdite </t>
    </r>
    <r>
      <rPr>
        <sz val="11"/>
        <color theme="1"/>
        <rFont val="Symbol"/>
        <family val="1"/>
        <charset val="2"/>
      </rPr>
      <t xml:space="preserve"> D</t>
    </r>
    <r>
      <rPr>
        <sz val="11"/>
        <color theme="1"/>
        <rFont val="Calibri"/>
        <family val="2"/>
        <scheme val="minor"/>
      </rPr>
      <t>p Pa</t>
    </r>
  </si>
  <si>
    <t>CALCOLO PERDITE LOCALIZZATE</t>
  </si>
  <si>
    <t>Detentore</t>
  </si>
  <si>
    <t>Valvola radiat.</t>
  </si>
  <si>
    <t>K curve &gt;90</t>
  </si>
  <si>
    <t>k curve 90 norm.</t>
  </si>
  <si>
    <t>Radiatore</t>
  </si>
  <si>
    <t>Caldaia</t>
  </si>
  <si>
    <t>Filtri caldaia</t>
  </si>
  <si>
    <t>tipologia</t>
  </si>
  <si>
    <t>+ SFAVORITO</t>
  </si>
  <si>
    <t>K tot</t>
  </si>
  <si>
    <t xml:space="preserve"> K     Valvole</t>
  </si>
  <si>
    <t>K          Altro</t>
  </si>
  <si>
    <t>Perdite Yc  m</t>
  </si>
  <si>
    <t>Yl  m</t>
  </si>
  <si>
    <t>Yc m</t>
  </si>
  <si>
    <t>N. elem. Radiat.</t>
  </si>
  <si>
    <t>Lungh. tot. in m</t>
  </si>
  <si>
    <t>Y tot m</t>
  </si>
  <si>
    <t>K    Curve &gt;90°</t>
  </si>
  <si>
    <t>K           Curve 90°</t>
  </si>
  <si>
    <t>Tutte le velocità dell'acqua nei tubi sono accettabili. Se la velocità scende sotto 0,1 m/s bisogna ridurre il DT nel radiatore per aumentare la v.</t>
  </si>
  <si>
    <t xml:space="preserve">D 8-16 </t>
  </si>
  <si>
    <t>D 18-28</t>
  </si>
  <si>
    <t>K coefficienti perdita localizzate</t>
  </si>
  <si>
    <t>cioè pari a</t>
  </si>
  <si>
    <t>l/h</t>
  </si>
  <si>
    <r>
      <t xml:space="preserve">Perdite </t>
    </r>
    <r>
      <rPr>
        <sz val="11"/>
        <color theme="1"/>
        <rFont val="Symbol"/>
        <family val="1"/>
        <charset val="2"/>
      </rPr>
      <t xml:space="preserve"> D</t>
    </r>
    <r>
      <rPr>
        <sz val="11"/>
        <color theme="1"/>
        <rFont val="Calibri"/>
        <family val="2"/>
        <scheme val="minor"/>
      </rPr>
      <t>p KPa</t>
    </r>
  </si>
  <si>
    <t>VERIFICA PREVALENZA DISPONIBILE ALL'IMPIANTO CON CALDAIA VITRIX IMMERGAS 28-35 TT</t>
  </si>
  <si>
    <t>Il punto di funzionamento P dell'impianto individuato da portata - perdite di carico è all'interno del campo di funzionamento della</t>
  </si>
  <si>
    <t>pompa che è quindi in grado di vincere le perdite di carico e movimentare l'acqua.</t>
  </si>
  <si>
    <r>
      <t xml:space="preserve">Il circuito più sfavorito CALDAIA + SALA R2 presenta una perdita di carico di </t>
    </r>
    <r>
      <rPr>
        <b/>
        <sz val="11"/>
        <color theme="1"/>
        <rFont val="Calibri"/>
        <family val="2"/>
        <scheme val="minor"/>
      </rPr>
      <t>43,7 KPa</t>
    </r>
    <r>
      <rPr>
        <sz val="11"/>
        <color theme="1"/>
        <rFont val="Calibri"/>
        <family val="2"/>
        <scheme val="minor"/>
      </rPr>
      <t xml:space="preserve"> con una portata complessiva in caldaia di 0,27 Kg/s</t>
    </r>
  </si>
  <si>
    <t>K     Detent.</t>
  </si>
  <si>
    <t>Largh. elemento</t>
  </si>
  <si>
    <t>Qn 800/80</t>
  </si>
  <si>
    <t>Qn 700/80</t>
  </si>
  <si>
    <t>Potenza tot. W</t>
  </si>
  <si>
    <t>Area tot.  m2</t>
  </si>
  <si>
    <t>D int. effet. mm</t>
  </si>
  <si>
    <t>Velocità effet.</t>
  </si>
  <si>
    <t>N. Curve 90</t>
  </si>
  <si>
    <t>N. Curve &gt;90</t>
  </si>
  <si>
    <t>watt</t>
  </si>
  <si>
    <t>=18 elementi</t>
  </si>
  <si>
    <t>Larghezza del radiatore = N.el x L = 18x 0,08=</t>
  </si>
  <si>
    <t>N. elementi radiatore = Potenza / Qn = 2524/ 147=</t>
  </si>
  <si>
    <t>Fabbisogno MAX.</t>
  </si>
  <si>
    <t>Potenza = Area x Fabbisogno MAX. = 14,02 x 180 =</t>
  </si>
  <si>
    <t>Kg/s</t>
  </si>
  <si>
    <t>Portata "m" di acqua del radiatore (DT = 10°C) = Pot / Ct x DT = 2524 / 4186x 10 =</t>
  </si>
  <si>
    <t xml:space="preserve">Area tubo =  m / densita x velocità = 0,06 / 1000 x 0,5 = </t>
  </si>
  <si>
    <t>m2</t>
  </si>
  <si>
    <t>Diametro del tubo =  (4 x Area/ 3,14)^0,5</t>
  </si>
  <si>
    <t>Il diametro commerciale più vicino è quello da 14 mm (18x2) quindi essendo + grande la velocità cala</t>
  </si>
  <si>
    <t>Area del tubo commerciale = 3,14 * D^2 / 4 =</t>
  </si>
  <si>
    <t>Velocità effettiva acqua nel tubo = m / densità x area =</t>
  </si>
  <si>
    <t>m/s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</si>
</sst>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00"/>
    <numFmt numFmtId="167" formatCode="0.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49" fontId="0" fillId="2" borderId="1" xfId="0" applyNumberFormat="1" applyFill="1" applyBorder="1" applyAlignment="1">
      <alignment wrapText="1"/>
    </xf>
    <xf numFmtId="1" fontId="0" fillId="2" borderId="1" xfId="0" applyNumberFormat="1" applyFill="1" applyBorder="1"/>
    <xf numFmtId="165" fontId="0" fillId="2" borderId="1" xfId="0" applyNumberFormat="1" applyFill="1" applyBorder="1"/>
    <xf numFmtId="164" fontId="0" fillId="2" borderId="1" xfId="0" applyNumberFormat="1" applyFill="1" applyBorder="1"/>
    <xf numFmtId="2" fontId="0" fillId="2" borderId="1" xfId="0" applyNumberFormat="1" applyFill="1" applyBorder="1"/>
    <xf numFmtId="49" fontId="0" fillId="2" borderId="4" xfId="0" applyNumberFormat="1" applyFill="1" applyBorder="1" applyAlignment="1">
      <alignment wrapText="1"/>
    </xf>
    <xf numFmtId="0" fontId="0" fillId="2" borderId="3" xfId="0" applyFill="1" applyBorder="1"/>
    <xf numFmtId="0" fontId="0" fillId="3" borderId="1" xfId="0" applyFill="1" applyBorder="1"/>
    <xf numFmtId="0" fontId="0" fillId="3" borderId="2" xfId="0" applyFill="1" applyBorder="1"/>
    <xf numFmtId="164" fontId="0" fillId="3" borderId="1" xfId="0" applyNumberFormat="1" applyFill="1" applyBorder="1"/>
    <xf numFmtId="165" fontId="0" fillId="3" borderId="1" xfId="0" applyNumberFormat="1" applyFill="1" applyBorder="1"/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1" fontId="2" fillId="2" borderId="1" xfId="0" applyNumberFormat="1" applyFont="1" applyFill="1" applyBorder="1"/>
    <xf numFmtId="0" fontId="2" fillId="2" borderId="1" xfId="0" applyFont="1" applyFill="1" applyBorder="1"/>
    <xf numFmtId="1" fontId="2" fillId="3" borderId="1" xfId="0" applyNumberFormat="1" applyFont="1" applyFill="1" applyBorder="1"/>
    <xf numFmtId="0" fontId="0" fillId="2" borderId="1" xfId="0" applyFill="1" applyBorder="1" applyAlignment="1">
      <alignment horizontal="right"/>
    </xf>
    <xf numFmtId="0" fontId="0" fillId="3" borderId="0" xfId="0" applyFill="1" applyBorder="1"/>
    <xf numFmtId="2" fontId="0" fillId="0" borderId="1" xfId="0" applyNumberFormat="1" applyBorder="1"/>
    <xf numFmtId="0" fontId="0" fillId="0" borderId="1" xfId="0" applyBorder="1"/>
    <xf numFmtId="166" fontId="0" fillId="2" borderId="1" xfId="0" applyNumberFormat="1" applyFill="1" applyBorder="1"/>
    <xf numFmtId="167" fontId="0" fillId="2" borderId="1" xfId="0" applyNumberFormat="1" applyFill="1" applyBorder="1"/>
    <xf numFmtId="0" fontId="0" fillId="3" borderId="2" xfId="0" applyFill="1" applyBorder="1" applyAlignment="1">
      <alignment horizontal="right"/>
    </xf>
    <xf numFmtId="0" fontId="1" fillId="3" borderId="5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" xfId="0" applyFill="1" applyBorder="1" applyAlignment="1">
      <alignment horizontal="center"/>
    </xf>
    <xf numFmtId="166" fontId="0" fillId="3" borderId="1" xfId="0" applyNumberFormat="1" applyFill="1" applyBorder="1"/>
    <xf numFmtId="167" fontId="0" fillId="3" borderId="1" xfId="0" applyNumberFormat="1" applyFill="1" applyBorder="1"/>
    <xf numFmtId="0" fontId="5" fillId="2" borderId="0" xfId="0" applyFont="1" applyFill="1"/>
    <xf numFmtId="0" fontId="0" fillId="2" borderId="1" xfId="0" applyFont="1" applyFill="1" applyBorder="1"/>
    <xf numFmtId="0" fontId="0" fillId="3" borderId="1" xfId="0" applyFont="1" applyFill="1" applyBorder="1"/>
    <xf numFmtId="0" fontId="0" fillId="3" borderId="1" xfId="0" quotePrefix="1" applyFill="1" applyBorder="1"/>
    <xf numFmtId="49" fontId="0" fillId="4" borderId="1" xfId="0" applyNumberFormat="1" applyFill="1" applyBorder="1" applyAlignment="1">
      <alignment wrapText="1"/>
    </xf>
    <xf numFmtId="164" fontId="0" fillId="4" borderId="1" xfId="0" applyNumberFormat="1" applyFill="1" applyBorder="1"/>
    <xf numFmtId="2" fontId="0" fillId="4" borderId="1" xfId="0" applyNumberFormat="1" applyFill="1" applyBorder="1"/>
    <xf numFmtId="1" fontId="0" fillId="4" borderId="1" xfId="0" applyNumberFormat="1" applyFill="1" applyBorder="1"/>
    <xf numFmtId="0" fontId="0" fillId="4" borderId="1" xfId="0" applyFill="1" applyBorder="1"/>
    <xf numFmtId="165" fontId="0" fillId="0" borderId="1" xfId="0" applyNumberFormat="1" applyBorder="1"/>
    <xf numFmtId="165" fontId="0" fillId="5" borderId="1" xfId="0" applyNumberFormat="1" applyFill="1" applyBorder="1"/>
    <xf numFmtId="1" fontId="1" fillId="2" borderId="0" xfId="0" applyNumberFormat="1" applyFont="1" applyFill="1"/>
    <xf numFmtId="165" fontId="0" fillId="4" borderId="1" xfId="0" applyNumberFormat="1" applyFill="1" applyBorder="1"/>
    <xf numFmtId="49" fontId="0" fillId="3" borderId="2" xfId="0" applyNumberFormat="1" applyFill="1" applyBorder="1" applyAlignment="1">
      <alignment horizontal="center" wrapText="1"/>
    </xf>
    <xf numFmtId="0" fontId="0" fillId="2" borderId="0" xfId="0" applyFill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/>
    <xf numFmtId="49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49" fontId="0" fillId="0" borderId="0" xfId="0" applyNumberFormat="1" applyFill="1" applyBorder="1" applyAlignment="1">
      <alignment wrapText="1"/>
    </xf>
    <xf numFmtId="1" fontId="0" fillId="0" borderId="0" xfId="0" applyNumberFormat="1" applyFill="1" applyBorder="1"/>
    <xf numFmtId="1" fontId="2" fillId="0" borderId="0" xfId="0" applyNumberFormat="1" applyFont="1" applyFill="1" applyBorder="1"/>
    <xf numFmtId="165" fontId="0" fillId="0" borderId="0" xfId="0" applyNumberFormat="1" applyFill="1" applyBorder="1"/>
    <xf numFmtId="164" fontId="0" fillId="0" borderId="0" xfId="0" applyNumberFormat="1" applyFill="1" applyBorder="1"/>
    <xf numFmtId="2" fontId="0" fillId="0" borderId="0" xfId="0" applyNumberFormat="1" applyFill="1" applyBorder="1"/>
    <xf numFmtId="0" fontId="0" fillId="0" borderId="0" xfId="0" quotePrefix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quotePrefix="1" applyFill="1"/>
    <xf numFmtId="0" fontId="0" fillId="2" borderId="0" xfId="0" applyFill="1" applyAlignment="1">
      <alignment horizontal="right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164" fontId="0" fillId="2" borderId="0" xfId="0" applyNumberFormat="1" applyFill="1"/>
    <xf numFmtId="1" fontId="0" fillId="2" borderId="0" xfId="0" applyNumberFormat="1" applyFill="1"/>
    <xf numFmtId="165" fontId="0" fillId="2" borderId="0" xfId="0" applyNumberFormat="1" applyFill="1"/>
    <xf numFmtId="2" fontId="0" fillId="2" borderId="0" xfId="0" applyNumberFormat="1" applyFill="1"/>
    <xf numFmtId="0" fontId="0" fillId="2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31750</xdr:rowOff>
    </xdr:from>
    <xdr:to>
      <xdr:col>10</xdr:col>
      <xdr:colOff>251460</xdr:colOff>
      <xdr:row>23</xdr:row>
      <xdr:rowOff>171450</xdr:rowOff>
    </xdr:to>
    <xdr:sp macro="" textlink="">
      <xdr:nvSpPr>
        <xdr:cNvPr id="2" name="CasellaDiTesto 1"/>
        <xdr:cNvSpPr txBox="1"/>
      </xdr:nvSpPr>
      <xdr:spPr>
        <a:xfrm>
          <a:off x="2613660" y="5464810"/>
          <a:ext cx="3520440" cy="3225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=GRANDE($A$24:$A$28;CONTA.SE($A$24:$A$28;"&gt;"&amp;H9))</a:t>
          </a:r>
        </a:p>
      </xdr:txBody>
    </xdr:sp>
    <xdr:clientData/>
  </xdr:twoCellAnchor>
  <xdr:twoCellAnchor>
    <xdr:from>
      <xdr:col>7</xdr:col>
      <xdr:colOff>565150</xdr:colOff>
      <xdr:row>16</xdr:row>
      <xdr:rowOff>114300</xdr:rowOff>
    </xdr:from>
    <xdr:to>
      <xdr:col>8</xdr:col>
      <xdr:colOff>374650</xdr:colOff>
      <xdr:row>21</xdr:row>
      <xdr:rowOff>152400</xdr:rowOff>
    </xdr:to>
    <xdr:cxnSp macro="">
      <xdr:nvCxnSpPr>
        <xdr:cNvPr id="4" name="Connettore 2 3"/>
        <xdr:cNvCxnSpPr/>
      </xdr:nvCxnSpPr>
      <xdr:spPr>
        <a:xfrm rot="5400000">
          <a:off x="5426075" y="4606925"/>
          <a:ext cx="1187450" cy="558800"/>
        </a:xfrm>
        <a:prstGeom prst="straightConnector1">
          <a:avLst/>
        </a:prstGeom>
        <a:ln cap="rnd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23</xdr:row>
      <xdr:rowOff>10160</xdr:rowOff>
    </xdr:from>
    <xdr:to>
      <xdr:col>4</xdr:col>
      <xdr:colOff>0</xdr:colOff>
      <xdr:row>24</xdr:row>
      <xdr:rowOff>101598</xdr:rowOff>
    </xdr:to>
    <xdr:cxnSp macro="">
      <xdr:nvCxnSpPr>
        <xdr:cNvPr id="8" name="Connettore 2 7"/>
        <xdr:cNvCxnSpPr>
          <a:stCxn id="2" idx="1"/>
        </xdr:cNvCxnSpPr>
      </xdr:nvCxnSpPr>
      <xdr:spPr>
        <a:xfrm rot="10800000" flipV="1">
          <a:off x="1116330" y="5626100"/>
          <a:ext cx="1497330" cy="27431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487680</xdr:colOff>
      <xdr:row>29</xdr:row>
      <xdr:rowOff>0</xdr:rowOff>
    </xdr:from>
    <xdr:to>
      <xdr:col>13</xdr:col>
      <xdr:colOff>411480</xdr:colOff>
      <xdr:row>32</xdr:row>
      <xdr:rowOff>146248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5080" y="6713220"/>
          <a:ext cx="5128260" cy="725368"/>
        </a:xfrm>
        <a:prstGeom prst="rect">
          <a:avLst/>
        </a:prstGeom>
        <a:noFill/>
        <a:ln w="1">
          <a:solidFill>
            <a:schemeClr val="bg1">
              <a:lumMod val="65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53340</xdr:colOff>
      <xdr:row>71</xdr:row>
      <xdr:rowOff>68580</xdr:rowOff>
    </xdr:from>
    <xdr:to>
      <xdr:col>12</xdr:col>
      <xdr:colOff>84732</xdr:colOff>
      <xdr:row>97</xdr:row>
      <xdr:rowOff>152400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" y="14698980"/>
          <a:ext cx="6950352" cy="4838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259080</xdr:colOff>
      <xdr:row>79</xdr:row>
      <xdr:rowOff>30480</xdr:rowOff>
    </xdr:from>
    <xdr:to>
      <xdr:col>6</xdr:col>
      <xdr:colOff>259080</xdr:colOff>
      <xdr:row>90</xdr:row>
      <xdr:rowOff>160020</xdr:rowOff>
    </xdr:to>
    <xdr:cxnSp macro="">
      <xdr:nvCxnSpPr>
        <xdr:cNvPr id="14" name="Connettore 1 13"/>
        <xdr:cNvCxnSpPr/>
      </xdr:nvCxnSpPr>
      <xdr:spPr>
        <a:xfrm rot="5400000" flipH="1" flipV="1">
          <a:off x="3021330" y="17194530"/>
          <a:ext cx="2141220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441960</xdr:colOff>
      <xdr:row>79</xdr:row>
      <xdr:rowOff>30480</xdr:rowOff>
    </xdr:from>
    <xdr:to>
      <xdr:col>6</xdr:col>
      <xdr:colOff>243840</xdr:colOff>
      <xdr:row>79</xdr:row>
      <xdr:rowOff>53340</xdr:rowOff>
    </xdr:to>
    <xdr:cxnSp macro="">
      <xdr:nvCxnSpPr>
        <xdr:cNvPr id="15" name="Connettore 1 14"/>
        <xdr:cNvCxnSpPr/>
      </xdr:nvCxnSpPr>
      <xdr:spPr>
        <a:xfrm rot="10800000">
          <a:off x="441960" y="16123920"/>
          <a:ext cx="3634740" cy="2286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198120</xdr:colOff>
      <xdr:row>79</xdr:row>
      <xdr:rowOff>7620</xdr:rowOff>
    </xdr:from>
    <xdr:to>
      <xdr:col>6</xdr:col>
      <xdr:colOff>297180</xdr:colOff>
      <xdr:row>79</xdr:row>
      <xdr:rowOff>83820</xdr:rowOff>
    </xdr:to>
    <xdr:sp macro="" textlink="">
      <xdr:nvSpPr>
        <xdr:cNvPr id="19" name="Ovale 18"/>
        <xdr:cNvSpPr/>
      </xdr:nvSpPr>
      <xdr:spPr>
        <a:xfrm>
          <a:off x="4030980" y="16101060"/>
          <a:ext cx="9906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419100</xdr:colOff>
      <xdr:row>78</xdr:row>
      <xdr:rowOff>0</xdr:rowOff>
    </xdr:from>
    <xdr:to>
      <xdr:col>7</xdr:col>
      <xdr:colOff>144780</xdr:colOff>
      <xdr:row>79</xdr:row>
      <xdr:rowOff>114300</xdr:rowOff>
    </xdr:to>
    <xdr:sp macro="" textlink="">
      <xdr:nvSpPr>
        <xdr:cNvPr id="20" name="CasellaDiTesto 19"/>
        <xdr:cNvSpPr txBox="1"/>
      </xdr:nvSpPr>
      <xdr:spPr>
        <a:xfrm>
          <a:off x="4251960" y="15910560"/>
          <a:ext cx="27432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P</a:t>
          </a:r>
        </a:p>
      </xdr:txBody>
    </xdr:sp>
    <xdr:clientData/>
  </xdr:twoCellAnchor>
  <xdr:twoCellAnchor editAs="oneCell">
    <xdr:from>
      <xdr:col>3</xdr:col>
      <xdr:colOff>472440</xdr:colOff>
      <xdr:row>43</xdr:row>
      <xdr:rowOff>76200</xdr:rowOff>
    </xdr:from>
    <xdr:to>
      <xdr:col>7</xdr:col>
      <xdr:colOff>133801</xdr:colOff>
      <xdr:row>53</xdr:row>
      <xdr:rowOff>7620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21280" y="9227820"/>
          <a:ext cx="1985461" cy="17602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4"/>
  <sheetViews>
    <sheetView tabSelected="1" zoomScaleNormal="100" zoomScalePageLayoutView="75" workbookViewId="0">
      <selection activeCell="P11" sqref="P11"/>
    </sheetView>
  </sheetViews>
  <sheetFormatPr defaultRowHeight="14.4"/>
  <cols>
    <col min="1" max="1" width="14.33203125" customWidth="1"/>
    <col min="2" max="2" width="8.21875" customWidth="1"/>
    <col min="3" max="3" width="8.77734375" customWidth="1"/>
    <col min="4" max="4" width="8.109375" customWidth="1"/>
    <col min="5" max="5" width="9.6640625" customWidth="1"/>
    <col min="6" max="6" width="8.109375" customWidth="1"/>
    <col min="7" max="7" width="8" customWidth="1"/>
    <col min="8" max="8" width="7.44140625" customWidth="1"/>
    <col min="9" max="9" width="7.109375" customWidth="1"/>
    <col min="10" max="10" width="7.88671875" customWidth="1"/>
    <col min="11" max="11" width="7.44140625" customWidth="1"/>
    <col min="12" max="12" width="5.77734375" customWidth="1"/>
    <col min="13" max="13" width="6.33203125" customWidth="1"/>
    <col min="15" max="15" width="1.88671875" customWidth="1"/>
    <col min="18" max="18" width="12.6640625" customWidth="1"/>
  </cols>
  <sheetData>
    <row r="1" spans="1:31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R1" s="61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3"/>
    </row>
    <row r="2" spans="1:31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R2" s="61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3"/>
    </row>
    <row r="3" spans="1:31">
      <c r="A3" s="73" t="s">
        <v>78</v>
      </c>
      <c r="B3" s="74">
        <f>8/100</f>
        <v>0.08</v>
      </c>
      <c r="C3" s="75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3"/>
    </row>
    <row r="4" spans="1:31">
      <c r="A4" s="76" t="s">
        <v>79</v>
      </c>
      <c r="B4" s="60">
        <v>147.1</v>
      </c>
      <c r="C4" s="77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3"/>
    </row>
    <row r="5" spans="1:31">
      <c r="A5" s="78" t="s">
        <v>80</v>
      </c>
      <c r="B5" s="79">
        <v>132.69999999999999</v>
      </c>
      <c r="C5" s="80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3"/>
    </row>
    <row r="6" spans="1:3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3"/>
    </row>
    <row r="7" spans="1:31">
      <c r="A7" s="18" t="s">
        <v>15</v>
      </c>
      <c r="B7" s="19"/>
      <c r="C7" s="19">
        <v>180</v>
      </c>
      <c r="D7" s="19" t="s">
        <v>8</v>
      </c>
      <c r="E7" s="18" t="s">
        <v>14</v>
      </c>
      <c r="F7" s="19">
        <v>250</v>
      </c>
      <c r="G7" s="13" t="s">
        <v>8</v>
      </c>
      <c r="H7" s="2"/>
      <c r="I7" s="2"/>
      <c r="J7" s="2"/>
      <c r="K7" s="2"/>
      <c r="L7" s="2"/>
      <c r="M7" s="2"/>
      <c r="N7" s="2"/>
      <c r="O7" s="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3"/>
    </row>
    <row r="8" spans="1:31" ht="7.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3"/>
    </row>
    <row r="9" spans="1:31" ht="40.799999999999997" customHeight="1">
      <c r="A9" s="12" t="s">
        <v>0</v>
      </c>
      <c r="B9" s="59" t="s">
        <v>82</v>
      </c>
      <c r="C9" s="20" t="s">
        <v>81</v>
      </c>
      <c r="D9" s="21" t="s">
        <v>61</v>
      </c>
      <c r="E9" s="21" t="s">
        <v>5</v>
      </c>
      <c r="F9" s="20" t="s">
        <v>1</v>
      </c>
      <c r="G9" s="20" t="s">
        <v>42</v>
      </c>
      <c r="H9" s="21" t="s">
        <v>2</v>
      </c>
      <c r="I9" s="21" t="s">
        <v>83</v>
      </c>
      <c r="J9" s="21" t="s">
        <v>84</v>
      </c>
      <c r="K9" s="20" t="s">
        <v>62</v>
      </c>
      <c r="L9" s="20" t="s">
        <v>85</v>
      </c>
      <c r="M9" s="20" t="s">
        <v>86</v>
      </c>
      <c r="N9" s="2"/>
      <c r="O9" s="2"/>
      <c r="R9" s="62"/>
      <c r="S9" s="64"/>
      <c r="T9" s="65"/>
      <c r="U9" s="64"/>
      <c r="V9" s="64"/>
      <c r="W9" s="65"/>
      <c r="X9" s="65"/>
      <c r="Y9" s="64"/>
      <c r="Z9" s="64"/>
      <c r="AA9" s="64"/>
      <c r="AB9" s="65"/>
      <c r="AC9" s="65"/>
      <c r="AD9" s="65"/>
      <c r="AE9" s="63"/>
    </row>
    <row r="10" spans="1:31" ht="34.200000000000003" customHeight="1">
      <c r="A10" s="5" t="s">
        <v>7</v>
      </c>
      <c r="B10" s="4">
        <v>14.02</v>
      </c>
      <c r="C10" s="6">
        <f t="shared" ref="C10:C15" si="0">$C$7*B10</f>
        <v>2523.6</v>
      </c>
      <c r="D10" s="22">
        <f>CEILING(C10/$B$4,1)</f>
        <v>18</v>
      </c>
      <c r="E10" s="7">
        <f>D10*$B$3</f>
        <v>1.44</v>
      </c>
      <c r="F10" s="8">
        <f>C10/(4186*10)</f>
        <v>6.0286669851887242E-2</v>
      </c>
      <c r="G10" s="3">
        <v>0.5</v>
      </c>
      <c r="H10" s="7">
        <f>(4*F10/(1000*G10*3.14))^0.5*1000</f>
        <v>12.393409986263297</v>
      </c>
      <c r="I10" s="22">
        <f t="shared" ref="I10:I15" si="1">LARGE($A$24:$A$28,COUNTIF($A$24:$A$28,"&gt;"&amp;H10))</f>
        <v>14</v>
      </c>
      <c r="J10" s="9">
        <f>F10/(1000*3.14*(I10/1000)^2/4)</f>
        <v>0.39182808950921116</v>
      </c>
      <c r="K10" s="6">
        <v>22</v>
      </c>
      <c r="L10" s="3">
        <v>1</v>
      </c>
      <c r="M10" s="3">
        <v>2</v>
      </c>
      <c r="N10" s="2"/>
      <c r="O10" s="2"/>
      <c r="R10" s="66"/>
      <c r="S10" s="62"/>
      <c r="T10" s="67"/>
      <c r="U10" s="68"/>
      <c r="V10" s="69"/>
      <c r="W10" s="70"/>
      <c r="X10" s="62"/>
      <c r="Y10" s="69"/>
      <c r="Z10" s="68"/>
      <c r="AA10" s="71"/>
      <c r="AB10" s="67"/>
      <c r="AC10" s="62"/>
      <c r="AD10" s="62"/>
      <c r="AE10" s="63"/>
    </row>
    <row r="11" spans="1:31" ht="25.8" customHeight="1">
      <c r="A11" s="5" t="s">
        <v>9</v>
      </c>
      <c r="B11" s="4">
        <v>9.5500000000000007</v>
      </c>
      <c r="C11" s="6">
        <f t="shared" si="0"/>
        <v>1719.0000000000002</v>
      </c>
      <c r="D11" s="22">
        <f t="shared" ref="D11:D15" si="2">CEILING(C11/$B$4,1)</f>
        <v>12</v>
      </c>
      <c r="E11" s="7">
        <f t="shared" ref="E11:E15" si="3">D11*$B$3</f>
        <v>0.96</v>
      </c>
      <c r="F11" s="8">
        <f t="shared" ref="F11:F15" si="4">C11/(4186*10)</f>
        <v>4.1065456282847593E-2</v>
      </c>
      <c r="G11" s="3">
        <v>0.5</v>
      </c>
      <c r="H11" s="7">
        <f t="shared" ref="H11:H15" si="5">(4*F11/(1000*G11*3.14))^0.5*1000</f>
        <v>10.228654179594027</v>
      </c>
      <c r="I11" s="22">
        <f t="shared" si="1"/>
        <v>12</v>
      </c>
      <c r="J11" s="9">
        <f t="shared" ref="J11:J15" si="6">F11/(1000*3.14*(I11/1000)^2/4)</f>
        <v>0.36328252196432759</v>
      </c>
      <c r="K11" s="6">
        <v>15</v>
      </c>
      <c r="L11" s="3">
        <v>4</v>
      </c>
      <c r="M11" s="3">
        <v>0</v>
      </c>
      <c r="N11" s="2"/>
      <c r="O11" s="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3"/>
    </row>
    <row r="12" spans="1:31" ht="28.2" customHeight="1">
      <c r="A12" s="5" t="s">
        <v>10</v>
      </c>
      <c r="B12" s="4">
        <v>6.79</v>
      </c>
      <c r="C12" s="6">
        <f>$F$7*B12</f>
        <v>1697.5</v>
      </c>
      <c r="D12" s="22">
        <f t="shared" si="2"/>
        <v>12</v>
      </c>
      <c r="E12" s="7">
        <f t="shared" si="3"/>
        <v>0.96</v>
      </c>
      <c r="F12" s="8">
        <f t="shared" si="4"/>
        <v>4.0551839464882944E-2</v>
      </c>
      <c r="G12" s="3">
        <v>0.5</v>
      </c>
      <c r="H12" s="7">
        <f t="shared" si="5"/>
        <v>10.164486629710407</v>
      </c>
      <c r="I12" s="22">
        <f t="shared" si="1"/>
        <v>12</v>
      </c>
      <c r="J12" s="9">
        <f t="shared" si="6"/>
        <v>0.35873884876931122</v>
      </c>
      <c r="K12" s="6">
        <v>18</v>
      </c>
      <c r="L12" s="3">
        <v>0</v>
      </c>
      <c r="M12" s="3">
        <v>1</v>
      </c>
      <c r="N12" s="2"/>
      <c r="O12" s="2"/>
      <c r="R12" s="62"/>
      <c r="S12" s="72"/>
      <c r="T12" s="7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3"/>
    </row>
    <row r="13" spans="1:31" ht="27" customHeight="1">
      <c r="A13" s="5" t="s">
        <v>11</v>
      </c>
      <c r="B13" s="4">
        <f>2.1+2.79</f>
        <v>4.8900000000000006</v>
      </c>
      <c r="C13" s="6">
        <f t="shared" si="0"/>
        <v>880.2</v>
      </c>
      <c r="D13" s="22">
        <f t="shared" si="2"/>
        <v>6</v>
      </c>
      <c r="E13" s="7">
        <f t="shared" si="3"/>
        <v>0.48</v>
      </c>
      <c r="F13" s="8">
        <f t="shared" si="4"/>
        <v>2.1027233635929288E-2</v>
      </c>
      <c r="G13" s="3">
        <v>0.5</v>
      </c>
      <c r="H13" s="7">
        <f t="shared" si="5"/>
        <v>7.3193285056122628</v>
      </c>
      <c r="I13" s="22">
        <f t="shared" si="1"/>
        <v>10</v>
      </c>
      <c r="J13" s="9">
        <f t="shared" si="6"/>
        <v>0.26786284886534123</v>
      </c>
      <c r="K13" s="6">
        <v>5</v>
      </c>
      <c r="L13" s="3">
        <v>1</v>
      </c>
      <c r="M13" s="3">
        <v>0</v>
      </c>
      <c r="N13" s="2"/>
      <c r="O13" s="2"/>
      <c r="R13" s="62"/>
      <c r="S13" s="62"/>
      <c r="T13" s="62"/>
      <c r="U13" s="62"/>
      <c r="V13" s="62"/>
      <c r="W13" s="72"/>
      <c r="X13" s="62"/>
      <c r="Y13" s="62"/>
      <c r="Z13" s="62"/>
      <c r="AA13" s="62"/>
      <c r="AB13" s="62"/>
      <c r="AC13" s="62"/>
      <c r="AD13" s="62"/>
      <c r="AE13" s="63"/>
    </row>
    <row r="14" spans="1:31" ht="33" customHeight="1">
      <c r="A14" s="10" t="s">
        <v>12</v>
      </c>
      <c r="B14" s="4">
        <f>24.91/2</f>
        <v>12.455</v>
      </c>
      <c r="C14" s="6">
        <f t="shared" si="0"/>
        <v>2241.9</v>
      </c>
      <c r="D14" s="22">
        <f t="shared" si="2"/>
        <v>16</v>
      </c>
      <c r="E14" s="7">
        <f t="shared" si="3"/>
        <v>1.28</v>
      </c>
      <c r="F14" s="8">
        <f t="shared" si="4"/>
        <v>5.3557095078834209E-2</v>
      </c>
      <c r="G14" s="3">
        <v>0.5</v>
      </c>
      <c r="H14" s="7">
        <f t="shared" si="5"/>
        <v>11.681232711194516</v>
      </c>
      <c r="I14" s="22">
        <f t="shared" si="1"/>
        <v>12</v>
      </c>
      <c r="J14" s="9">
        <f t="shared" si="6"/>
        <v>0.47378888073986386</v>
      </c>
      <c r="K14" s="6">
        <v>8</v>
      </c>
      <c r="L14" s="3">
        <v>0</v>
      </c>
      <c r="M14" s="3">
        <v>1</v>
      </c>
      <c r="N14" s="2"/>
      <c r="O14" s="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3"/>
    </row>
    <row r="15" spans="1:31" ht="31.2" customHeight="1">
      <c r="A15" s="5" t="s">
        <v>13</v>
      </c>
      <c r="B15" s="4">
        <f>24.91/2</f>
        <v>12.455</v>
      </c>
      <c r="C15" s="6">
        <f t="shared" si="0"/>
        <v>2241.9</v>
      </c>
      <c r="D15" s="22">
        <f t="shared" si="2"/>
        <v>16</v>
      </c>
      <c r="E15" s="7">
        <f t="shared" si="3"/>
        <v>1.28</v>
      </c>
      <c r="F15" s="8">
        <f t="shared" si="4"/>
        <v>5.3557095078834209E-2</v>
      </c>
      <c r="G15" s="3">
        <v>0.5</v>
      </c>
      <c r="H15" s="7">
        <f t="shared" si="5"/>
        <v>11.681232711194516</v>
      </c>
      <c r="I15" s="22">
        <f t="shared" si="1"/>
        <v>12</v>
      </c>
      <c r="J15" s="9">
        <f t="shared" si="6"/>
        <v>0.47378888073986386</v>
      </c>
      <c r="K15" s="6">
        <v>25</v>
      </c>
      <c r="L15" s="3">
        <v>0</v>
      </c>
      <c r="M15" s="3">
        <v>1</v>
      </c>
      <c r="N15" s="2"/>
      <c r="O15" s="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3"/>
    </row>
    <row r="16" spans="1:31" ht="3" customHeight="1">
      <c r="A16" s="11"/>
      <c r="B16" s="4"/>
      <c r="C16" s="3"/>
      <c r="D16" s="3"/>
      <c r="E16" s="3"/>
      <c r="F16" s="3"/>
      <c r="G16" s="3"/>
      <c r="H16" s="3"/>
      <c r="I16" s="23"/>
      <c r="J16" s="3"/>
      <c r="K16" s="3"/>
      <c r="L16" s="3"/>
      <c r="M16" s="3"/>
      <c r="N16" s="2"/>
      <c r="O16" s="2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spans="1:31" ht="18" customHeight="1">
      <c r="A17" s="12" t="s">
        <v>6</v>
      </c>
      <c r="B17" s="13"/>
      <c r="C17" s="12"/>
      <c r="D17" s="12"/>
      <c r="E17" s="12"/>
      <c r="F17" s="14">
        <f>SUM(F10:F16)</f>
        <v>0.27004538939321548</v>
      </c>
      <c r="G17" s="12">
        <v>1</v>
      </c>
      <c r="H17" s="15">
        <f t="shared" ref="H17" si="7">(4*F17/(1000*G17*3.14))^0.5*1000</f>
        <v>18.547422070710105</v>
      </c>
      <c r="I17" s="24">
        <v>18</v>
      </c>
      <c r="J17" s="17">
        <f t="shared" ref="J17" si="8">F17/(1000*3.14*(I17/1000)^2/4)</f>
        <v>1.061749584781063</v>
      </c>
      <c r="K17" s="16">
        <v>15</v>
      </c>
      <c r="L17" s="12">
        <v>0</v>
      </c>
      <c r="M17" s="12">
        <v>1</v>
      </c>
      <c r="N17" s="2"/>
      <c r="O17" s="2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</row>
    <row r="18" spans="1:31" ht="7.2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</row>
    <row r="19" spans="1:31">
      <c r="A19" s="2" t="s">
        <v>31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spans="1:31">
      <c r="A20" s="2" t="s">
        <v>66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</row>
    <row r="21" spans="1:3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spans="1:31">
      <c r="A22" s="32" t="s">
        <v>16</v>
      </c>
      <c r="B22" s="19"/>
      <c r="C22" s="1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spans="1:31">
      <c r="A23" s="33" t="s">
        <v>25</v>
      </c>
      <c r="B23" s="33" t="s">
        <v>26</v>
      </c>
      <c r="C23" s="34" t="s">
        <v>17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spans="1:31">
      <c r="A24" s="3">
        <v>10</v>
      </c>
      <c r="B24" s="3">
        <v>14</v>
      </c>
      <c r="C24" s="25" t="s">
        <v>18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31">
      <c r="A25" s="3">
        <v>12</v>
      </c>
      <c r="B25" s="3">
        <v>16</v>
      </c>
      <c r="C25" s="25" t="s">
        <v>19</v>
      </c>
      <c r="D25" s="2"/>
      <c r="E25" s="46" t="s">
        <v>40</v>
      </c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31">
      <c r="A26" s="3">
        <v>14</v>
      </c>
      <c r="B26" s="3">
        <v>18</v>
      </c>
      <c r="C26" s="25" t="s">
        <v>20</v>
      </c>
      <c r="D26" s="2"/>
      <c r="E26" s="46" t="s">
        <v>41</v>
      </c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31">
      <c r="A27" s="3">
        <v>16</v>
      </c>
      <c r="B27" s="3">
        <v>20</v>
      </c>
      <c r="C27" s="25" t="s">
        <v>21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31">
      <c r="A28" s="3">
        <v>20</v>
      </c>
      <c r="B28" s="3">
        <v>26</v>
      </c>
      <c r="C28" s="25" t="s">
        <v>22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3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31">
      <c r="A30" s="1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31" ht="16.8" customHeight="1">
      <c r="A32" s="18" t="s">
        <v>28</v>
      </c>
      <c r="B32" s="19">
        <f>7/1000</f>
        <v>7.0000000000000001E-3</v>
      </c>
      <c r="C32" s="31" t="s">
        <v>24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31.8" customHeight="1">
      <c r="A34" s="12" t="s">
        <v>0</v>
      </c>
      <c r="B34" s="20" t="s">
        <v>1</v>
      </c>
      <c r="C34" s="21" t="s">
        <v>37</v>
      </c>
      <c r="D34" s="21" t="s">
        <v>39</v>
      </c>
      <c r="E34" s="20" t="s">
        <v>38</v>
      </c>
      <c r="F34" s="21" t="s">
        <v>23</v>
      </c>
      <c r="G34" s="43" t="s">
        <v>27</v>
      </c>
      <c r="H34" s="21" t="s">
        <v>43</v>
      </c>
      <c r="I34" s="20" t="s">
        <v>58</v>
      </c>
      <c r="J34" s="20" t="s">
        <v>44</v>
      </c>
      <c r="K34" s="2"/>
      <c r="L34" s="2"/>
      <c r="M34" s="2"/>
      <c r="N34" s="2"/>
      <c r="O34" s="2"/>
    </row>
    <row r="35" spans="1:15">
      <c r="A35" s="5" t="s">
        <v>32</v>
      </c>
      <c r="B35" s="8">
        <f>F10</f>
        <v>6.0286669851887242E-2</v>
      </c>
      <c r="C35" s="9">
        <f>J10</f>
        <v>0.39182808950921116</v>
      </c>
      <c r="D35" s="6">
        <f>I10</f>
        <v>14</v>
      </c>
      <c r="E35" s="6">
        <f t="shared" ref="E35:E40" si="9">K10</f>
        <v>22</v>
      </c>
      <c r="F35" s="6">
        <f t="shared" ref="F35:F40" si="10">C35*(D35/1000)/(1.1*10^-6)</f>
        <v>4986.9029573899606</v>
      </c>
      <c r="G35" s="29">
        <f t="shared" ref="G35:G40" si="11">$B$32/D35</f>
        <v>5.0000000000000001E-4</v>
      </c>
      <c r="H35" s="30">
        <f t="shared" ref="H35:H40" si="12">5.5*10^-3*(1+(200 *$B$32/D35+10^6/F35)^(1/3))</f>
        <v>3.7697678429116775E-2</v>
      </c>
      <c r="I35" s="30">
        <f>H35*(E35/(D35/1000))*C35^2/19.62</f>
        <v>0.46355511848214281</v>
      </c>
      <c r="J35" s="6">
        <f>I35*9810</f>
        <v>4547.4757123098207</v>
      </c>
      <c r="K35" s="2"/>
      <c r="L35" s="2"/>
      <c r="M35" s="2"/>
      <c r="N35" s="2"/>
      <c r="O35" s="2"/>
    </row>
    <row r="36" spans="1:15">
      <c r="A36" s="5" t="s">
        <v>33</v>
      </c>
      <c r="B36" s="8">
        <f t="shared" ref="B36:B42" si="13">F11</f>
        <v>4.1065456282847593E-2</v>
      </c>
      <c r="C36" s="9">
        <f t="shared" ref="C36:C42" si="14">J11</f>
        <v>0.36328252196432759</v>
      </c>
      <c r="D36" s="6">
        <f t="shared" ref="D36:D42" si="15">I11</f>
        <v>12</v>
      </c>
      <c r="E36" s="6">
        <f t="shared" si="9"/>
        <v>15</v>
      </c>
      <c r="F36" s="6">
        <f t="shared" si="10"/>
        <v>3963.0820577926643</v>
      </c>
      <c r="G36" s="29">
        <f t="shared" si="11"/>
        <v>5.8333333333333338E-4</v>
      </c>
      <c r="H36" s="30">
        <f t="shared" si="12"/>
        <v>4.0260438989727178E-2</v>
      </c>
      <c r="I36" s="30">
        <f t="shared" ref="I36:I42" si="16">H36*(E36/(D36/1000))*C36^2/19.62</f>
        <v>0.33851547244542068</v>
      </c>
      <c r="J36" s="6">
        <f t="shared" ref="J36:J42" si="17">I36*9810</f>
        <v>3320.8367846895767</v>
      </c>
      <c r="K36" s="2"/>
      <c r="L36" s="2"/>
      <c r="M36" s="2"/>
      <c r="N36" s="2"/>
      <c r="O36" s="2"/>
    </row>
    <row r="37" spans="1:15">
      <c r="A37" s="5" t="s">
        <v>14</v>
      </c>
      <c r="B37" s="8">
        <f t="shared" si="13"/>
        <v>4.0551839464882944E-2</v>
      </c>
      <c r="C37" s="9">
        <f t="shared" si="14"/>
        <v>0.35873884876931122</v>
      </c>
      <c r="D37" s="6">
        <f t="shared" si="15"/>
        <v>12</v>
      </c>
      <c r="E37" s="6">
        <f t="shared" si="9"/>
        <v>18</v>
      </c>
      <c r="F37" s="6">
        <f t="shared" si="10"/>
        <v>3913.5147138470311</v>
      </c>
      <c r="G37" s="29">
        <f t="shared" si="11"/>
        <v>5.8333333333333338E-4</v>
      </c>
      <c r="H37" s="30">
        <f t="shared" si="12"/>
        <v>4.0406511395079475E-2</v>
      </c>
      <c r="I37" s="30">
        <f t="shared" si="16"/>
        <v>0.39755794066694428</v>
      </c>
      <c r="J37" s="6">
        <f t="shared" si="17"/>
        <v>3900.0433979427235</v>
      </c>
      <c r="K37" s="2"/>
      <c r="L37" s="2"/>
      <c r="M37" s="2"/>
      <c r="N37" s="2"/>
      <c r="O37" s="2"/>
    </row>
    <row r="38" spans="1:15">
      <c r="A38" s="5" t="s">
        <v>34</v>
      </c>
      <c r="B38" s="8">
        <f t="shared" si="13"/>
        <v>2.1027233635929288E-2</v>
      </c>
      <c r="C38" s="9">
        <f t="shared" si="14"/>
        <v>0.26786284886534123</v>
      </c>
      <c r="D38" s="6">
        <f t="shared" si="15"/>
        <v>10</v>
      </c>
      <c r="E38" s="6">
        <f t="shared" si="9"/>
        <v>5</v>
      </c>
      <c r="F38" s="6">
        <f t="shared" si="10"/>
        <v>2435.1168078667383</v>
      </c>
      <c r="G38" s="29">
        <f t="shared" si="11"/>
        <v>6.9999999999999999E-4</v>
      </c>
      <c r="H38" s="30">
        <f t="shared" si="12"/>
        <v>4.6385762448979573E-2</v>
      </c>
      <c r="I38" s="30">
        <f t="shared" si="16"/>
        <v>8.4816562633476214E-2</v>
      </c>
      <c r="J38" s="6">
        <f t="shared" si="17"/>
        <v>832.05047943440161</v>
      </c>
      <c r="K38" s="2"/>
      <c r="L38" s="2"/>
      <c r="M38" s="2"/>
      <c r="N38" s="2"/>
      <c r="O38" s="2"/>
    </row>
    <row r="39" spans="1:15">
      <c r="A39" s="5" t="s">
        <v>35</v>
      </c>
      <c r="B39" s="8">
        <f t="shared" si="13"/>
        <v>5.3557095078834209E-2</v>
      </c>
      <c r="C39" s="9">
        <f t="shared" si="14"/>
        <v>0.47378888073986386</v>
      </c>
      <c r="D39" s="6">
        <f t="shared" si="15"/>
        <v>12</v>
      </c>
      <c r="E39" s="6">
        <f t="shared" si="9"/>
        <v>8</v>
      </c>
      <c r="F39" s="6">
        <f t="shared" si="10"/>
        <v>5168.6059717076059</v>
      </c>
      <c r="G39" s="29">
        <f t="shared" si="11"/>
        <v>5.8333333333333338E-4</v>
      </c>
      <c r="H39" s="30">
        <f t="shared" si="12"/>
        <v>3.73169697673447E-2</v>
      </c>
      <c r="I39" s="30">
        <f t="shared" si="16"/>
        <v>0.28463338446761943</v>
      </c>
      <c r="J39" s="6">
        <f t="shared" si="17"/>
        <v>2792.2535016273469</v>
      </c>
      <c r="K39" s="2"/>
      <c r="L39" s="2"/>
      <c r="M39" s="2"/>
      <c r="N39" s="2"/>
      <c r="O39" s="2"/>
    </row>
    <row r="40" spans="1:15">
      <c r="A40" s="5" t="s">
        <v>36</v>
      </c>
      <c r="B40" s="8">
        <f t="shared" si="13"/>
        <v>5.3557095078834209E-2</v>
      </c>
      <c r="C40" s="9">
        <f t="shared" si="14"/>
        <v>0.47378888073986386</v>
      </c>
      <c r="D40" s="6">
        <f t="shared" si="15"/>
        <v>12</v>
      </c>
      <c r="E40" s="6">
        <f t="shared" si="9"/>
        <v>25</v>
      </c>
      <c r="F40" s="6">
        <f t="shared" si="10"/>
        <v>5168.6059717076059</v>
      </c>
      <c r="G40" s="29">
        <f t="shared" si="11"/>
        <v>5.8333333333333338E-4</v>
      </c>
      <c r="H40" s="30">
        <f t="shared" si="12"/>
        <v>3.73169697673447E-2</v>
      </c>
      <c r="I40" s="30">
        <f t="shared" si="16"/>
        <v>0.88947932646131089</v>
      </c>
      <c r="J40" s="6">
        <f t="shared" si="17"/>
        <v>8725.7921925854607</v>
      </c>
      <c r="K40" s="2"/>
      <c r="L40" s="2"/>
      <c r="M40" s="2"/>
      <c r="N40" s="2"/>
      <c r="O40" s="2"/>
    </row>
    <row r="41" spans="1:15" ht="6.6" customHeight="1">
      <c r="A41" s="3"/>
      <c r="B41" s="8"/>
      <c r="C41" s="9"/>
      <c r="D41" s="6"/>
      <c r="E41" s="6"/>
      <c r="F41" s="6"/>
      <c r="G41" s="29"/>
      <c r="H41" s="30"/>
      <c r="I41" s="30"/>
      <c r="J41" s="6"/>
      <c r="K41" s="2"/>
      <c r="L41" s="2"/>
      <c r="M41" s="2"/>
      <c r="N41" s="2"/>
      <c r="O41" s="2"/>
    </row>
    <row r="42" spans="1:15">
      <c r="A42" s="12" t="s">
        <v>6</v>
      </c>
      <c r="B42" s="14">
        <f t="shared" si="13"/>
        <v>0.27004538939321548</v>
      </c>
      <c r="C42" s="17">
        <f t="shared" si="14"/>
        <v>1.061749584781063</v>
      </c>
      <c r="D42" s="16">
        <f t="shared" si="15"/>
        <v>18</v>
      </c>
      <c r="E42" s="16">
        <f>K17</f>
        <v>15</v>
      </c>
      <c r="F42" s="16">
        <f>C42*(D42/1000)/(1.1*10^-6)</f>
        <v>17374.084114599209</v>
      </c>
      <c r="G42" s="44">
        <f>$B$32/D42</f>
        <v>3.8888888888888892E-4</v>
      </c>
      <c r="H42" s="45">
        <f>5.5*10^-3*(1+(200 *$B$32/D42+10^6/F42)^(1/3))</f>
        <v>2.6745039396833769E-2</v>
      </c>
      <c r="I42" s="45">
        <f t="shared" si="16"/>
        <v>1.2805814087481098</v>
      </c>
      <c r="J42" s="16">
        <f t="shared" si="17"/>
        <v>12562.503619818957</v>
      </c>
      <c r="K42" s="2"/>
      <c r="L42" s="2"/>
      <c r="M42" s="2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1" t="s">
        <v>45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89" t="s">
        <v>69</v>
      </c>
      <c r="B45" s="89"/>
      <c r="C45" s="89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48" t="s">
        <v>53</v>
      </c>
      <c r="B46" s="12" t="s">
        <v>67</v>
      </c>
      <c r="C46" s="12" t="s">
        <v>68</v>
      </c>
      <c r="D46" s="2" t="s">
        <v>24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47" t="s">
        <v>49</v>
      </c>
      <c r="B47" s="47">
        <v>1.5</v>
      </c>
      <c r="C47" s="47">
        <v>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47" t="s">
        <v>48</v>
      </c>
      <c r="B48" s="47">
        <v>1</v>
      </c>
      <c r="C48" s="47">
        <v>0.5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47" t="s">
        <v>47</v>
      </c>
      <c r="B49" s="47">
        <v>4</v>
      </c>
      <c r="C49" s="47">
        <v>4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47" t="s">
        <v>46</v>
      </c>
      <c r="B50" s="47">
        <v>1</v>
      </c>
      <c r="C50" s="47">
        <v>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47" t="s">
        <v>50</v>
      </c>
      <c r="B51" s="47">
        <v>3</v>
      </c>
      <c r="C51" s="47">
        <v>3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47" t="s">
        <v>51</v>
      </c>
      <c r="B52" s="47">
        <v>3</v>
      </c>
      <c r="C52" s="47">
        <v>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47" t="s">
        <v>52</v>
      </c>
      <c r="B53" s="47">
        <v>5</v>
      </c>
      <c r="C53" s="47">
        <v>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43.2">
      <c r="A55" s="12" t="s">
        <v>0</v>
      </c>
      <c r="B55" s="20" t="s">
        <v>1</v>
      </c>
      <c r="C55" s="21" t="s">
        <v>37</v>
      </c>
      <c r="D55" s="21" t="s">
        <v>39</v>
      </c>
      <c r="E55" s="20" t="s">
        <v>65</v>
      </c>
      <c r="F55" s="20" t="s">
        <v>64</v>
      </c>
      <c r="G55" s="20" t="s">
        <v>56</v>
      </c>
      <c r="H55" s="20" t="s">
        <v>77</v>
      </c>
      <c r="I55" s="20" t="s">
        <v>57</v>
      </c>
      <c r="J55" s="43" t="s">
        <v>55</v>
      </c>
      <c r="K55" s="20" t="s">
        <v>59</v>
      </c>
      <c r="L55" s="20" t="s">
        <v>60</v>
      </c>
      <c r="M55" s="20" t="s">
        <v>63</v>
      </c>
      <c r="N55" s="20" t="s">
        <v>72</v>
      </c>
      <c r="O55" s="2"/>
    </row>
    <row r="56" spans="1:15">
      <c r="A56" s="5" t="s">
        <v>32</v>
      </c>
      <c r="B56" s="8">
        <f>B35</f>
        <v>6.0286669851887242E-2</v>
      </c>
      <c r="C56" s="9">
        <f>C35</f>
        <v>0.39182808950921116</v>
      </c>
      <c r="D56" s="6">
        <f>D35</f>
        <v>14</v>
      </c>
      <c r="E56" s="3">
        <f>(L10+6)*$B$47</f>
        <v>10.5</v>
      </c>
      <c r="F56" s="3">
        <f>M10*$B$48</f>
        <v>2</v>
      </c>
      <c r="G56" s="3">
        <f>4*$B$49</f>
        <v>16</v>
      </c>
      <c r="H56" s="3">
        <f>1*$B$50</f>
        <v>1</v>
      </c>
      <c r="I56" s="3"/>
      <c r="J56" s="28">
        <f>SUM(E56:I56)</f>
        <v>29.5</v>
      </c>
      <c r="K56" s="27">
        <f>J56*C56^2/19.62</f>
        <v>0.23084163741024122</v>
      </c>
      <c r="L56" s="27">
        <f t="shared" ref="L56:L61" si="18">I35</f>
        <v>0.46355511848214281</v>
      </c>
      <c r="M56" s="27">
        <f>K56+L56</f>
        <v>0.69439675589238403</v>
      </c>
      <c r="N56" s="55">
        <f>M56*9810/1000</f>
        <v>6.812032175304287</v>
      </c>
      <c r="O56" s="2"/>
    </row>
    <row r="57" spans="1:15">
      <c r="A57" s="5" t="s">
        <v>33</v>
      </c>
      <c r="B57" s="8">
        <f t="shared" ref="B57:D57" si="19">B36</f>
        <v>4.1065456282847593E-2</v>
      </c>
      <c r="C57" s="9">
        <f t="shared" si="19"/>
        <v>0.36328252196432759</v>
      </c>
      <c r="D57" s="6">
        <f t="shared" si="19"/>
        <v>12</v>
      </c>
      <c r="E57" s="3">
        <f t="shared" ref="E57:E61" si="20">(L11+6)*$B$47</f>
        <v>15</v>
      </c>
      <c r="F57" s="3">
        <f t="shared" ref="F57:F63" si="21">M11*$B$48</f>
        <v>0</v>
      </c>
      <c r="G57" s="3">
        <f t="shared" ref="G57:G63" si="22">4*$B$49</f>
        <v>16</v>
      </c>
      <c r="H57" s="3">
        <f t="shared" ref="H57:H63" si="23">1*$B$50</f>
        <v>1</v>
      </c>
      <c r="I57" s="3"/>
      <c r="J57" s="28">
        <f t="shared" ref="J57:J63" si="24">SUM(E57:I57)</f>
        <v>32</v>
      </c>
      <c r="K57" s="27">
        <f t="shared" ref="K57:K63" si="25">J57*C57^2/19.62</f>
        <v>0.21524842530440311</v>
      </c>
      <c r="L57" s="27">
        <f t="shared" si="18"/>
        <v>0.33851547244542068</v>
      </c>
      <c r="M57" s="27">
        <f t="shared" ref="M57:M63" si="26">K57+L57</f>
        <v>0.55376389774982382</v>
      </c>
      <c r="N57" s="55">
        <f t="shared" ref="N57:N65" si="27">M57*9810/1000</f>
        <v>5.4324238369257722</v>
      </c>
      <c r="O57" s="2"/>
    </row>
    <row r="58" spans="1:15">
      <c r="A58" s="5" t="s">
        <v>14</v>
      </c>
      <c r="B58" s="8">
        <f t="shared" ref="B58:D58" si="28">B37</f>
        <v>4.0551839464882944E-2</v>
      </c>
      <c r="C58" s="9">
        <f t="shared" si="28"/>
        <v>0.35873884876931122</v>
      </c>
      <c r="D58" s="6">
        <f t="shared" si="28"/>
        <v>12</v>
      </c>
      <c r="E58" s="3">
        <f t="shared" si="20"/>
        <v>9</v>
      </c>
      <c r="F58" s="3">
        <f t="shared" si="21"/>
        <v>1</v>
      </c>
      <c r="G58" s="3">
        <f t="shared" si="22"/>
        <v>16</v>
      </c>
      <c r="H58" s="3">
        <f t="shared" si="23"/>
        <v>1</v>
      </c>
      <c r="I58" s="3"/>
      <c r="J58" s="28">
        <f t="shared" si="24"/>
        <v>27</v>
      </c>
      <c r="K58" s="27">
        <f t="shared" si="25"/>
        <v>0.17710123158210653</v>
      </c>
      <c r="L58" s="27">
        <f t="shared" si="18"/>
        <v>0.39755794066694428</v>
      </c>
      <c r="M58" s="27">
        <f t="shared" si="26"/>
        <v>0.57465917224905083</v>
      </c>
      <c r="N58" s="55">
        <f t="shared" si="27"/>
        <v>5.6374064797631886</v>
      </c>
      <c r="O58" s="2"/>
    </row>
    <row r="59" spans="1:15">
      <c r="A59" s="5" t="s">
        <v>34</v>
      </c>
      <c r="B59" s="8">
        <f t="shared" ref="B59:D59" si="29">B38</f>
        <v>2.1027233635929288E-2</v>
      </c>
      <c r="C59" s="9">
        <f t="shared" si="29"/>
        <v>0.26786284886534123</v>
      </c>
      <c r="D59" s="6">
        <f t="shared" si="29"/>
        <v>10</v>
      </c>
      <c r="E59" s="3">
        <f t="shared" si="20"/>
        <v>10.5</v>
      </c>
      <c r="F59" s="3">
        <f t="shared" si="21"/>
        <v>0</v>
      </c>
      <c r="G59" s="3">
        <f t="shared" si="22"/>
        <v>16</v>
      </c>
      <c r="H59" s="3">
        <f t="shared" si="23"/>
        <v>1</v>
      </c>
      <c r="I59" s="3"/>
      <c r="J59" s="28">
        <f t="shared" si="24"/>
        <v>27.5</v>
      </c>
      <c r="K59" s="27">
        <f t="shared" si="25"/>
        <v>0.10056773239358092</v>
      </c>
      <c r="L59" s="27">
        <f t="shared" si="18"/>
        <v>8.4816562633476214E-2</v>
      </c>
      <c r="M59" s="27">
        <f t="shared" si="26"/>
        <v>0.18538429502705714</v>
      </c>
      <c r="N59" s="55">
        <f t="shared" si="27"/>
        <v>1.8186199342154306</v>
      </c>
      <c r="O59" s="2"/>
    </row>
    <row r="60" spans="1:15">
      <c r="A60" s="5" t="s">
        <v>35</v>
      </c>
      <c r="B60" s="8">
        <f t="shared" ref="B60:D60" si="30">B39</f>
        <v>5.3557095078834209E-2</v>
      </c>
      <c r="C60" s="9">
        <f t="shared" si="30"/>
        <v>0.47378888073986386</v>
      </c>
      <c r="D60" s="6">
        <f t="shared" si="30"/>
        <v>12</v>
      </c>
      <c r="E60" s="3">
        <f t="shared" si="20"/>
        <v>9</v>
      </c>
      <c r="F60" s="3">
        <f t="shared" si="21"/>
        <v>1</v>
      </c>
      <c r="G60" s="3">
        <f t="shared" si="22"/>
        <v>16</v>
      </c>
      <c r="H60" s="3">
        <f t="shared" si="23"/>
        <v>1</v>
      </c>
      <c r="I60" s="3"/>
      <c r="J60" s="28">
        <f t="shared" si="24"/>
        <v>27</v>
      </c>
      <c r="K60" s="27">
        <f t="shared" si="25"/>
        <v>0.30891179382486184</v>
      </c>
      <c r="L60" s="27">
        <f t="shared" si="18"/>
        <v>0.28463338446761943</v>
      </c>
      <c r="M60" s="27">
        <f t="shared" si="26"/>
        <v>0.59354517829248121</v>
      </c>
      <c r="N60" s="55">
        <f t="shared" si="27"/>
        <v>5.8226781990492409</v>
      </c>
      <c r="O60" s="2"/>
    </row>
    <row r="61" spans="1:15">
      <c r="A61" s="50" t="s">
        <v>36</v>
      </c>
      <c r="B61" s="51">
        <f t="shared" ref="B61:D61" si="31">B40</f>
        <v>5.3557095078834209E-2</v>
      </c>
      <c r="C61" s="52">
        <f t="shared" si="31"/>
        <v>0.47378888073986386</v>
      </c>
      <c r="D61" s="53">
        <f t="shared" si="31"/>
        <v>12</v>
      </c>
      <c r="E61" s="3">
        <f t="shared" si="20"/>
        <v>9</v>
      </c>
      <c r="F61" s="54">
        <f t="shared" si="21"/>
        <v>1</v>
      </c>
      <c r="G61" s="54">
        <f t="shared" si="22"/>
        <v>16</v>
      </c>
      <c r="H61" s="54">
        <f t="shared" si="23"/>
        <v>1</v>
      </c>
      <c r="I61" s="54"/>
      <c r="J61" s="54">
        <f t="shared" si="24"/>
        <v>27</v>
      </c>
      <c r="K61" s="52">
        <f t="shared" si="25"/>
        <v>0.30891179382486184</v>
      </c>
      <c r="L61" s="52">
        <f t="shared" si="18"/>
        <v>0.88947932646131089</v>
      </c>
      <c r="M61" s="52">
        <f t="shared" si="26"/>
        <v>1.1983911202861728</v>
      </c>
      <c r="N61" s="58">
        <f t="shared" si="27"/>
        <v>11.756216890007355</v>
      </c>
      <c r="O61" s="2"/>
    </row>
    <row r="62" spans="1:15" ht="6.6" customHeight="1">
      <c r="A62" s="3"/>
      <c r="B62" s="8"/>
      <c r="C62" s="9"/>
      <c r="D62" s="6"/>
      <c r="E62" s="3"/>
      <c r="F62" s="3"/>
      <c r="G62" s="3"/>
      <c r="H62" s="3"/>
      <c r="I62" s="3"/>
      <c r="J62" s="28"/>
      <c r="K62" s="27"/>
      <c r="L62" s="27"/>
      <c r="M62" s="27"/>
      <c r="N62" s="55"/>
      <c r="O62" s="2"/>
    </row>
    <row r="63" spans="1:15">
      <c r="A63" s="12" t="s">
        <v>6</v>
      </c>
      <c r="B63" s="14">
        <f t="shared" ref="B63:D63" si="32">B42</f>
        <v>0.27004538939321548</v>
      </c>
      <c r="C63" s="17">
        <f t="shared" si="32"/>
        <v>1.061749584781063</v>
      </c>
      <c r="D63" s="16">
        <f t="shared" si="32"/>
        <v>18</v>
      </c>
      <c r="E63" s="12">
        <f>(L17+5)*$B$47</f>
        <v>7.5</v>
      </c>
      <c r="F63" s="12">
        <f t="shared" si="21"/>
        <v>1</v>
      </c>
      <c r="G63" s="12">
        <f t="shared" si="22"/>
        <v>16</v>
      </c>
      <c r="H63" s="12">
        <f t="shared" si="23"/>
        <v>1</v>
      </c>
      <c r="I63" s="12">
        <f>C52+C53</f>
        <v>8</v>
      </c>
      <c r="J63" s="12">
        <f t="shared" si="24"/>
        <v>33.5</v>
      </c>
      <c r="K63" s="17">
        <f t="shared" si="25"/>
        <v>1.9248194727942123</v>
      </c>
      <c r="L63" s="17">
        <f>I42</f>
        <v>1.2805814087481098</v>
      </c>
      <c r="M63" s="17">
        <f t="shared" si="26"/>
        <v>3.2054008815423218</v>
      </c>
      <c r="N63" s="15">
        <f t="shared" si="27"/>
        <v>31.444982647930178</v>
      </c>
      <c r="O63" s="2"/>
    </row>
    <row r="64" spans="1:15">
      <c r="A64" s="3"/>
      <c r="B64" s="3"/>
      <c r="C64" s="3"/>
      <c r="D64" s="3"/>
      <c r="E64" s="3"/>
      <c r="F64" s="3"/>
      <c r="G64" s="3"/>
      <c r="H64" s="3"/>
      <c r="I64" s="3"/>
      <c r="J64" s="28"/>
      <c r="K64" s="28"/>
      <c r="L64" s="28"/>
      <c r="M64" s="28"/>
      <c r="N64" s="55"/>
      <c r="O64" s="2"/>
    </row>
    <row r="65" spans="1:15">
      <c r="A65" s="49" t="s">
        <v>54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7">
        <f>M61+M63</f>
        <v>4.4037920018284948</v>
      </c>
      <c r="N65" s="56">
        <f t="shared" si="27"/>
        <v>43.201199537937534</v>
      </c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1" t="s">
        <v>73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7.2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A70" s="2" t="s">
        <v>76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2" t="s">
        <v>70</v>
      </c>
      <c r="B71" s="57">
        <f>B63*3600</f>
        <v>972.16340181557575</v>
      </c>
      <c r="C71" s="1" t="s">
        <v>71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>
      <c r="A99" s="2" t="s">
        <v>74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>
      <c r="A100" s="2" t="s">
        <v>75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</sheetData>
  <mergeCells count="1">
    <mergeCell ref="A45:C45"/>
  </mergeCells>
  <pageMargins left="0.25" right="0.25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P20" sqref="P20"/>
    </sheetView>
  </sheetViews>
  <sheetFormatPr defaultRowHeight="14.4"/>
  <cols>
    <col min="1" max="1" width="8.88671875" style="2"/>
    <col min="2" max="2" width="11.6640625" style="2" customWidth="1"/>
    <col min="3" max="3" width="8.88671875" style="2"/>
    <col min="4" max="4" width="12.109375" style="2" customWidth="1"/>
    <col min="5" max="5" width="8.88671875" style="2"/>
    <col min="6" max="6" width="12" style="2" bestFit="1" customWidth="1"/>
    <col min="7" max="16384" width="8.88671875" style="2"/>
  </cols>
  <sheetData>
    <row r="1" spans="1:13">
      <c r="A1" s="1" t="s">
        <v>30</v>
      </c>
    </row>
    <row r="2" spans="1:13">
      <c r="A2" s="1"/>
    </row>
    <row r="3" spans="1:13">
      <c r="A3" s="35" t="s">
        <v>78</v>
      </c>
      <c r="B3" s="36">
        <f>8/100</f>
        <v>0.08</v>
      </c>
      <c r="C3" s="37" t="s">
        <v>3</v>
      </c>
    </row>
    <row r="4" spans="1:13">
      <c r="A4" s="38" t="s">
        <v>79</v>
      </c>
      <c r="B4" s="26">
        <v>147.1</v>
      </c>
      <c r="C4" s="39" t="s">
        <v>4</v>
      </c>
    </row>
    <row r="5" spans="1:13">
      <c r="A5" s="40" t="s">
        <v>80</v>
      </c>
      <c r="B5" s="41">
        <v>132.69999999999999</v>
      </c>
      <c r="C5" s="42" t="s">
        <v>4</v>
      </c>
      <c r="F5" s="82"/>
    </row>
    <row r="7" spans="1:13">
      <c r="A7" s="18" t="s">
        <v>91</v>
      </c>
      <c r="B7" s="19"/>
      <c r="C7" s="83">
        <v>180</v>
      </c>
      <c r="D7" s="19" t="s">
        <v>8</v>
      </c>
      <c r="E7" s="84" t="s">
        <v>14</v>
      </c>
      <c r="F7" s="83">
        <v>250</v>
      </c>
      <c r="G7" s="13" t="s">
        <v>8</v>
      </c>
    </row>
    <row r="9" spans="1:13" ht="43.8" customHeight="1">
      <c r="A9" s="12" t="s">
        <v>0</v>
      </c>
      <c r="B9" s="59" t="s">
        <v>82</v>
      </c>
      <c r="C9" s="20" t="s">
        <v>81</v>
      </c>
      <c r="D9" s="21" t="s">
        <v>61</v>
      </c>
      <c r="E9" s="21" t="s">
        <v>5</v>
      </c>
      <c r="F9" s="20" t="s">
        <v>1</v>
      </c>
      <c r="G9" s="20" t="s">
        <v>42</v>
      </c>
      <c r="H9" s="21" t="s">
        <v>2</v>
      </c>
      <c r="I9" s="21" t="s">
        <v>83</v>
      </c>
      <c r="J9" s="21" t="s">
        <v>84</v>
      </c>
      <c r="K9" s="20" t="s">
        <v>62</v>
      </c>
      <c r="L9" s="20" t="s">
        <v>85</v>
      </c>
      <c r="M9" s="20" t="s">
        <v>86</v>
      </c>
    </row>
    <row r="10" spans="1:13" ht="43.2">
      <c r="A10" s="5" t="s">
        <v>7</v>
      </c>
      <c r="B10" s="4">
        <v>14.02</v>
      </c>
      <c r="C10" s="6">
        <f t="shared" ref="C10" si="0">$C$7*B10</f>
        <v>2523.6</v>
      </c>
      <c r="D10" s="22">
        <f>CEILING(C10/$B$4,1)</f>
        <v>18</v>
      </c>
      <c r="E10" s="7">
        <f>D10*$B$3</f>
        <v>1.44</v>
      </c>
      <c r="F10" s="8">
        <f>C10/(4186*10)</f>
        <v>6.0286669851887242E-2</v>
      </c>
      <c r="G10" s="3">
        <v>0.5</v>
      </c>
      <c r="H10" s="7">
        <f>(4*F10/(1000*G10*3.14))^0.5*1000</f>
        <v>12.393409986263297</v>
      </c>
      <c r="I10" s="22">
        <v>14</v>
      </c>
      <c r="J10" s="9">
        <f>F10/(1000*3.14*(I10/1000)^2/4)</f>
        <v>0.39182808950921116</v>
      </c>
      <c r="K10" s="6">
        <v>22</v>
      </c>
      <c r="L10" s="3">
        <v>1</v>
      </c>
      <c r="M10" s="3">
        <v>2</v>
      </c>
    </row>
    <row r="12" spans="1:13" ht="19.2" customHeight="1">
      <c r="A12" s="2" t="s">
        <v>92</v>
      </c>
      <c r="B12" s="81"/>
      <c r="C12" s="81"/>
      <c r="E12" s="2">
        <f>B10*C7</f>
        <v>2523.6</v>
      </c>
      <c r="F12" s="2" t="s">
        <v>87</v>
      </c>
    </row>
    <row r="13" spans="1:13" ht="21.6" customHeight="1">
      <c r="A13" s="2" t="s">
        <v>90</v>
      </c>
      <c r="E13" s="2">
        <f>E12/B4</f>
        <v>17.155676410605032</v>
      </c>
      <c r="F13" s="81" t="s">
        <v>88</v>
      </c>
    </row>
    <row r="14" spans="1:13" ht="22.2" customHeight="1">
      <c r="A14" s="2" t="s">
        <v>89</v>
      </c>
      <c r="E14" s="2">
        <f>18*B3</f>
        <v>1.44</v>
      </c>
      <c r="F14" s="2" t="s">
        <v>3</v>
      </c>
    </row>
    <row r="16" spans="1:13">
      <c r="A16" s="2" t="s">
        <v>94</v>
      </c>
      <c r="H16" s="85">
        <f>C10/(4186*10)</f>
        <v>6.0286669851887242E-2</v>
      </c>
      <c r="I16" s="2" t="s">
        <v>93</v>
      </c>
      <c r="J16" s="86">
        <f>H16*3600</f>
        <v>217.03201146679407</v>
      </c>
      <c r="K16" s="2" t="s">
        <v>71</v>
      </c>
    </row>
    <row r="18" spans="1:9">
      <c r="A18" s="2" t="s">
        <v>95</v>
      </c>
      <c r="F18" s="2">
        <f>H16/1000/0.5</f>
        <v>1.2057333970377448E-4</v>
      </c>
      <c r="G18" s="2" t="s">
        <v>96</v>
      </c>
    </row>
    <row r="20" spans="1:9">
      <c r="A20" s="2" t="s">
        <v>97</v>
      </c>
      <c r="F20" s="2">
        <f>(4*F18/3.14)^0.5</f>
        <v>1.2393409986263296E-2</v>
      </c>
      <c r="G20" s="2" t="s">
        <v>24</v>
      </c>
      <c r="H20" s="87">
        <f>F20*1000</f>
        <v>12.393409986263297</v>
      </c>
      <c r="I20" s="2" t="s">
        <v>24</v>
      </c>
    </row>
    <row r="22" spans="1:9">
      <c r="A22" s="2" t="s">
        <v>98</v>
      </c>
    </row>
    <row r="24" spans="1:9">
      <c r="A24" s="2" t="s">
        <v>99</v>
      </c>
      <c r="E24" s="2">
        <f>3.14*(14/1000)^2/4</f>
        <v>1.5386000000000002E-4</v>
      </c>
      <c r="F24" s="2" t="s">
        <v>96</v>
      </c>
    </row>
    <row r="25" spans="1:9">
      <c r="A25" s="2" t="s">
        <v>100</v>
      </c>
      <c r="F25" s="88">
        <f>H16/1000/E24</f>
        <v>0.39182808950921116</v>
      </c>
      <c r="G25" s="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dimensionamento</vt:lpstr>
      <vt:lpstr>dettaglio conti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2020-11-12T16:11:48Z</cp:lastPrinted>
  <dcterms:created xsi:type="dcterms:W3CDTF">2020-11-12T09:55:45Z</dcterms:created>
  <dcterms:modified xsi:type="dcterms:W3CDTF">2020-11-13T12:53:06Z</dcterms:modified>
</cp:coreProperties>
</file>