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70" windowWidth="25370" windowHeight="12290"/>
  </bookViews>
  <sheets>
    <sheet name="Piegatura" sheetId="9" r:id="rId1"/>
    <sheet name="Foratura" sheetId="8" r:id="rId2"/>
    <sheet name="Foglio1" sheetId="10" r:id="rId3"/>
  </sheets>
  <calcPr calcId="125725"/>
</workbook>
</file>

<file path=xl/calcChain.xml><?xml version="1.0" encoding="utf-8"?>
<calcChain xmlns="http://schemas.openxmlformats.org/spreadsheetml/2006/main">
  <c r="K18" i="9" a="1"/>
  <c r="K18" s="1"/>
  <c r="J19" a="1"/>
  <c r="J19" s="1"/>
  <c r="J18" a="1"/>
  <c r="J18" s="1"/>
  <c r="C14" i="8"/>
  <c r="C28" s="1"/>
  <c r="C15"/>
  <c r="C18" s="1"/>
  <c r="C26"/>
  <c r="C77"/>
  <c r="C80" s="1"/>
  <c r="C81" s="1"/>
  <c r="C59"/>
  <c r="C75"/>
  <c r="C101"/>
  <c r="C102" s="1"/>
  <c r="C90"/>
  <c r="C91" s="1"/>
  <c r="C88"/>
  <c r="C89" s="1"/>
  <c r="C86"/>
  <c r="C87" s="1"/>
  <c r="C48" i="9"/>
  <c r="C49" s="1"/>
  <c r="C50" s="1"/>
  <c r="C44"/>
  <c r="C25"/>
  <c r="C26" s="1"/>
  <c r="C27" s="1"/>
  <c r="C21"/>
  <c r="C9"/>
  <c r="C11" s="1"/>
  <c r="C36" s="1"/>
  <c r="C55" i="8"/>
  <c r="C61" s="1"/>
  <c r="C62" s="1"/>
  <c r="C32"/>
  <c r="E18" i="9"/>
  <c r="A6" i="10"/>
  <c r="C94" i="8" l="1"/>
  <c r="C30"/>
  <c r="C39" s="1"/>
  <c r="C20"/>
  <c r="C22" s="1"/>
  <c r="C23" s="1"/>
  <c r="C56" s="1"/>
  <c r="C109" s="1"/>
  <c r="C111" s="1"/>
  <c r="C112" s="1"/>
  <c r="C115" s="1"/>
  <c r="C92"/>
  <c r="C93" s="1"/>
  <c r="C15" i="9"/>
  <c r="C16" s="1"/>
  <c r="E16" s="1"/>
  <c r="C29"/>
  <c r="C57"/>
  <c r="C59" s="1"/>
  <c r="E59" s="1"/>
  <c r="C62" s="1"/>
  <c r="C34" i="8" l="1"/>
  <c r="C36" s="1"/>
  <c r="C40"/>
  <c r="C45" s="1"/>
  <c r="C47" s="1"/>
  <c r="C48" s="1"/>
  <c r="C104"/>
  <c r="C103"/>
  <c r="C38" i="9"/>
  <c r="C39" s="1"/>
  <c r="E39" s="1"/>
  <c r="C52"/>
  <c r="H18"/>
  <c r="C63" i="8" l="1"/>
  <c r="C70" l="1"/>
  <c r="C71" s="1"/>
  <c r="E71" s="1"/>
  <c r="C68"/>
  <c r="C82" s="1"/>
</calcChain>
</file>

<file path=xl/sharedStrings.xml><?xml version="1.0" encoding="utf-8"?>
<sst xmlns="http://schemas.openxmlformats.org/spreadsheetml/2006/main" count="295" uniqueCount="174">
  <si>
    <t>mm</t>
  </si>
  <si>
    <t>°</t>
  </si>
  <si>
    <t>Materiale da forare</t>
  </si>
  <si>
    <t>N/mm2</t>
  </si>
  <si>
    <t>Avanzamento a</t>
  </si>
  <si>
    <t>mm/giro</t>
  </si>
  <si>
    <t>m/min</t>
  </si>
  <si>
    <t>giri/min</t>
  </si>
  <si>
    <t>Calcolo tempo di foratura</t>
  </si>
  <si>
    <t>min</t>
  </si>
  <si>
    <t>s</t>
  </si>
  <si>
    <t>Calcolo carico strappamento unitario del materiale</t>
  </si>
  <si>
    <t>mm2</t>
  </si>
  <si>
    <t>Calcolo sezione del truciolo asportata da 1 dente dalla punta</t>
  </si>
  <si>
    <t>S = (a/2)*(D/2)</t>
  </si>
  <si>
    <t>Calcolo forza di taglio su 1 dente</t>
  </si>
  <si>
    <t>F = Ks * S</t>
  </si>
  <si>
    <t>N</t>
  </si>
  <si>
    <t>n°= 1000 vt / 3,14 D</t>
  </si>
  <si>
    <t>Profondità foro  l</t>
  </si>
  <si>
    <t>Mt = F * b</t>
  </si>
  <si>
    <t>Calcolo braccio forza di taglio</t>
  </si>
  <si>
    <t>b= (0,45- 0,6) D</t>
  </si>
  <si>
    <t>Nm</t>
  </si>
  <si>
    <t>pressione</t>
  </si>
  <si>
    <t>BAR</t>
  </si>
  <si>
    <t>m2</t>
  </si>
  <si>
    <t>Calcolo dimatro del cilindro</t>
  </si>
  <si>
    <t>Utensile punta elicoidale in acciao superrapido</t>
  </si>
  <si>
    <t>Calcolo del Momento torcente da applicare</t>
  </si>
  <si>
    <t>Potenza ideale assorbita dal motore</t>
  </si>
  <si>
    <r>
      <t xml:space="preserve">P id. = Mt * </t>
    </r>
    <r>
      <rPr>
        <sz val="12"/>
        <color theme="1"/>
        <rFont val="Symbol"/>
        <family val="1"/>
        <charset val="2"/>
      </rPr>
      <t>w</t>
    </r>
  </si>
  <si>
    <t>Velocità di avanzamento punta</t>
  </si>
  <si>
    <t>va = a * n</t>
  </si>
  <si>
    <t>mm/min</t>
  </si>
  <si>
    <r>
      <t>t = l + e +D / 2tg(</t>
    </r>
    <r>
      <rPr>
        <sz val="12"/>
        <color theme="1"/>
        <rFont val="Symbol"/>
        <family val="1"/>
        <charset val="2"/>
      </rPr>
      <t>b</t>
    </r>
    <r>
      <rPr>
        <sz val="12"/>
        <color theme="1"/>
        <rFont val="Calibri"/>
        <family val="2"/>
        <scheme val="minor"/>
      </rPr>
      <t>/2) / va</t>
    </r>
  </si>
  <si>
    <t>Extracorsa e = e1+e2=(3-4)mm</t>
  </si>
  <si>
    <t>A cilindro = P/p</t>
  </si>
  <si>
    <t>D cilindro = (4*A/3,14)^0,5</t>
  </si>
  <si>
    <t>p</t>
  </si>
  <si>
    <t>bar</t>
  </si>
  <si>
    <t>A</t>
  </si>
  <si>
    <t>D</t>
  </si>
  <si>
    <t>m</t>
  </si>
  <si>
    <t>La forza massima ottenibile vale</t>
  </si>
  <si>
    <t>F max</t>
  </si>
  <si>
    <t>Pa</t>
  </si>
  <si>
    <t>m tot</t>
  </si>
  <si>
    <t>Kg</t>
  </si>
  <si>
    <t>c</t>
  </si>
  <si>
    <t>corsa</t>
  </si>
  <si>
    <t>m/s</t>
  </si>
  <si>
    <t>t</t>
  </si>
  <si>
    <t>a</t>
  </si>
  <si>
    <t>m/s2</t>
  </si>
  <si>
    <t>accelerazione media</t>
  </si>
  <si>
    <t>forza inerzia</t>
  </si>
  <si>
    <t>La forza complessiva che deve esercitare il cilindro A vale quindi:</t>
  </si>
  <si>
    <t>Essendo la forza &lt;= a quella massima il cilindro scelto va bene.</t>
  </si>
  <si>
    <t>max</t>
  </si>
  <si>
    <t>W</t>
  </si>
  <si>
    <t>Rm Al</t>
  </si>
  <si>
    <t>t corsa</t>
  </si>
  <si>
    <t>La forza massima ottenibile in spinta</t>
  </si>
  <si>
    <t>Fi</t>
  </si>
  <si>
    <t>kg</t>
  </si>
  <si>
    <t>Ftot richiesta</t>
  </si>
  <si>
    <t>kg/m3</t>
  </si>
  <si>
    <t>tempo rot. 180°</t>
  </si>
  <si>
    <t>rad</t>
  </si>
  <si>
    <t>rad/s2</t>
  </si>
  <si>
    <t>rad/s</t>
  </si>
  <si>
    <t>J</t>
  </si>
  <si>
    <t>J matrice</t>
  </si>
  <si>
    <t>J tavola</t>
  </si>
  <si>
    <t>J cilindro</t>
  </si>
  <si>
    <t>J tot</t>
  </si>
  <si>
    <t>Massa e momento inerzia tavola rotante</t>
  </si>
  <si>
    <t>m matrice</t>
  </si>
  <si>
    <t>m tavola</t>
  </si>
  <si>
    <t>m cilindro</t>
  </si>
  <si>
    <t>F tot</t>
  </si>
  <si>
    <t>f attrito</t>
  </si>
  <si>
    <t>F</t>
  </si>
  <si>
    <t>t  posiz.</t>
  </si>
  <si>
    <t>t rimoz</t>
  </si>
  <si>
    <t>t tot</t>
  </si>
  <si>
    <t>t ciclo</t>
  </si>
  <si>
    <t>n° pezzi</t>
  </si>
  <si>
    <t>ore</t>
  </si>
  <si>
    <t>€/h</t>
  </si>
  <si>
    <t>€</t>
  </si>
  <si>
    <t>t tot ciclo</t>
  </si>
  <si>
    <t>tempo impiegato per fare la corsa</t>
  </si>
  <si>
    <t>massa tot. movimentata dal cilindro</t>
  </si>
  <si>
    <t>Calcolo forza di foratura</t>
  </si>
  <si>
    <t>Verifica cilindro foratura</t>
  </si>
  <si>
    <t>T ciclo foratura e preventivo commessa</t>
  </si>
  <si>
    <t>Alluminio con Rm</t>
  </si>
  <si>
    <t>Dimensionamento cilindro di bloccaggio</t>
  </si>
  <si>
    <t>Dimensionamento cilindro di piegatura</t>
  </si>
  <si>
    <t>Scelta cilindro rotante da catalogo</t>
  </si>
  <si>
    <t>Tempo ciclo piegatura e preventivo commessa</t>
  </si>
  <si>
    <t>ALLUMINIO</t>
  </si>
  <si>
    <t>Ks = 5,4 * Rm</t>
  </si>
  <si>
    <t>kg mm2</t>
  </si>
  <si>
    <t>kg m2</t>
  </si>
  <si>
    <t>Valutiamo ora le forze di inerzia in gioco (a=cost)</t>
  </si>
  <si>
    <r>
      <rPr>
        <sz val="12"/>
        <color theme="1"/>
        <rFont val="Symbol"/>
        <family val="1"/>
        <charset val="2"/>
      </rPr>
      <t>a</t>
    </r>
    <r>
      <rPr>
        <sz val="12"/>
        <color theme="1"/>
        <rFont val="Calibri"/>
        <family val="2"/>
        <scheme val="minor"/>
      </rPr>
      <t xml:space="preserve"> acc. angolare</t>
    </r>
  </si>
  <si>
    <t xml:space="preserve">massa tot. movimentata </t>
  </si>
  <si>
    <t>Calcolo forza assiale di penetrazione</t>
  </si>
  <si>
    <t>Diametro che garantisce l'ammortizzamento</t>
  </si>
  <si>
    <t>Velocità taglio vt</t>
  </si>
  <si>
    <t>P = ks * 2* Ft</t>
  </si>
  <si>
    <t>pressione aria</t>
  </si>
  <si>
    <t>Sezione cilindro pneumatico</t>
  </si>
  <si>
    <t>massa movimentata</t>
  </si>
  <si>
    <t>t tot corsa+ foratura</t>
  </si>
  <si>
    <t>Fi inerzia</t>
  </si>
  <si>
    <t>f attrito (metallo/metallo)</t>
  </si>
  <si>
    <t>F di blocco (x attrito)</t>
  </si>
  <si>
    <t>D commerc.</t>
  </si>
  <si>
    <r>
      <rPr>
        <sz val="12"/>
        <color theme="1"/>
        <rFont val="Symbol"/>
        <family val="1"/>
        <charset val="2"/>
      </rPr>
      <t>r</t>
    </r>
    <r>
      <rPr>
        <sz val="12"/>
        <color theme="1"/>
        <rFont val="Calibri"/>
        <family val="2"/>
        <scheme val="minor"/>
      </rPr>
      <t xml:space="preserve"> Alluminio</t>
    </r>
  </si>
  <si>
    <t>m tot tavola rotante</t>
  </si>
  <si>
    <t>Fissiamo il tempo di rotazione e scegliamo il cilindro rotante</t>
  </si>
  <si>
    <t>t  posizionamento pezzo</t>
  </si>
  <si>
    <t>t rimozione pezzo</t>
  </si>
  <si>
    <t>n° pezzi commessa</t>
  </si>
  <si>
    <t>C orario totale</t>
  </si>
  <si>
    <t>C attrezzaggio macchina</t>
  </si>
  <si>
    <t>s spessore</t>
  </si>
  <si>
    <t>b altezza</t>
  </si>
  <si>
    <t>F piegatura</t>
  </si>
  <si>
    <t>ks sicur. (aria)</t>
  </si>
  <si>
    <t>k sic. Aria</t>
  </si>
  <si>
    <t>D commerciale</t>
  </si>
  <si>
    <t>La forza complessiva di piegatura vale quindi:</t>
  </si>
  <si>
    <t>Dimensioniamo il blocco ad attrito</t>
  </si>
  <si>
    <t>metallo/metallo</t>
  </si>
  <si>
    <t>Dimensionamento cilindro di foratura</t>
  </si>
  <si>
    <t>Dimensionamento cilindri di bloccaggio</t>
  </si>
  <si>
    <t>angolo di rotazione</t>
  </si>
  <si>
    <t>che soddisfa  C motrice e E cinetica richieste</t>
  </si>
  <si>
    <t>N &lt; F max --&gt; OK</t>
  </si>
  <si>
    <t>°  --&gt;</t>
  </si>
  <si>
    <t>COMMESSA FORATURA LAMIERINI</t>
  </si>
  <si>
    <t>COMMESSA PIEGATURA A L LAMIERINI</t>
  </si>
  <si>
    <t>k sicur. aria</t>
  </si>
  <si>
    <t>F effettiva</t>
  </si>
  <si>
    <t>p pressione</t>
  </si>
  <si>
    <t>A sezione</t>
  </si>
  <si>
    <t>velocità finale pistone</t>
  </si>
  <si>
    <t>v ammortizzam.</t>
  </si>
  <si>
    <t>velocità finale in sicurezza</t>
  </si>
  <si>
    <t>Scelta diametro commerciale</t>
  </si>
  <si>
    <t>in genere +20-30%</t>
  </si>
  <si>
    <t>Calcolo forza di piegatura</t>
  </si>
  <si>
    <r>
      <t xml:space="preserve">Angolo </t>
    </r>
    <r>
      <rPr>
        <sz val="12"/>
        <color theme="1"/>
        <rFont val="Symbol"/>
        <family val="1"/>
        <charset val="2"/>
      </rPr>
      <t>b</t>
    </r>
  </si>
  <si>
    <t>D punta</t>
  </si>
  <si>
    <t>Parametri di taglio utensile da tabelle</t>
  </si>
  <si>
    <t>Tempo di foratura</t>
  </si>
  <si>
    <r>
      <t>Ft 1 tagliente =  F sen(</t>
    </r>
    <r>
      <rPr>
        <sz val="12"/>
        <color theme="1"/>
        <rFont val="Symbol"/>
        <family val="1"/>
        <charset val="2"/>
      </rPr>
      <t>b</t>
    </r>
    <r>
      <rPr>
        <sz val="12"/>
        <color theme="1"/>
        <rFont val="Calibri"/>
        <family val="2"/>
        <scheme val="minor"/>
      </rPr>
      <t>/2)</t>
    </r>
  </si>
  <si>
    <r>
      <rPr>
        <sz val="12"/>
        <color theme="1"/>
        <rFont val="Symbol"/>
        <family val="1"/>
        <charset val="2"/>
      </rPr>
      <t>w</t>
    </r>
    <r>
      <rPr>
        <sz val="12"/>
        <color theme="1"/>
        <rFont val="Calibri"/>
        <family val="2"/>
        <scheme val="minor"/>
      </rPr>
      <t xml:space="preserve"> velocità angolare</t>
    </r>
  </si>
  <si>
    <t>Cm coppia motrice</t>
  </si>
  <si>
    <t>Ec energia cinetica</t>
  </si>
  <si>
    <t>t tot. commessa</t>
  </si>
  <si>
    <t>Preventivo commessa</t>
  </si>
  <si>
    <t>C attrezzaggio</t>
  </si>
  <si>
    <t>Cilindri</t>
  </si>
  <si>
    <t>D (mm)</t>
  </si>
  <si>
    <t>v (m/s)</t>
  </si>
  <si>
    <t>B</t>
  </si>
  <si>
    <t>C</t>
  </si>
  <si>
    <t>=INDICE(B2:B4; CONFRONTA(A2; B2:B4; 1) + (INDIRETTO("A" &amp; CONFRONTA(A2!;Piegatura! B2:B4; 1) + 1) &lt;A2))</t>
  </si>
</sst>
</file>

<file path=xl/styles.xml><?xml version="1.0" encoding="utf-8"?>
<styleSheet xmlns="http://schemas.openxmlformats.org/spreadsheetml/2006/main">
  <numFmts count="4">
    <numFmt numFmtId="164" formatCode="0.0"/>
    <numFmt numFmtId="165" formatCode="0.0000"/>
    <numFmt numFmtId="166" formatCode="0.000"/>
    <numFmt numFmtId="167" formatCode="0.000000"/>
  </numFmts>
  <fonts count="10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2" fillId="2" borderId="0" xfId="0" applyFont="1" applyFill="1"/>
    <xf numFmtId="164" fontId="2" fillId="2" borderId="0" xfId="0" applyNumberFormat="1" applyFont="1" applyFill="1"/>
    <xf numFmtId="2" fontId="2" fillId="2" borderId="0" xfId="0" applyNumberFormat="1" applyFont="1" applyFill="1"/>
    <xf numFmtId="0" fontId="4" fillId="2" borderId="0" xfId="0" applyFont="1" applyFill="1"/>
    <xf numFmtId="1" fontId="2" fillId="2" borderId="0" xfId="0" applyNumberFormat="1" applyFont="1" applyFill="1"/>
    <xf numFmtId="0" fontId="5" fillId="2" borderId="0" xfId="0" applyFont="1" applyFill="1"/>
    <xf numFmtId="0" fontId="0" fillId="2" borderId="0" xfId="0" applyFill="1"/>
    <xf numFmtId="164" fontId="0" fillId="2" borderId="0" xfId="0" applyNumberFormat="1" applyFill="1"/>
    <xf numFmtId="1" fontId="0" fillId="2" borderId="0" xfId="0" applyNumberFormat="1" applyFill="1"/>
    <xf numFmtId="2" fontId="0" fillId="2" borderId="0" xfId="0" applyNumberFormat="1" applyFill="1"/>
    <xf numFmtId="0" fontId="0" fillId="2" borderId="0" xfId="0" applyFill="1" applyAlignment="1">
      <alignment horizontal="left"/>
    </xf>
    <xf numFmtId="165" fontId="0" fillId="2" borderId="0" xfId="0" applyNumberFormat="1" applyFill="1"/>
    <xf numFmtId="166" fontId="2" fillId="2" borderId="0" xfId="0" applyNumberFormat="1" applyFont="1" applyFill="1"/>
    <xf numFmtId="0" fontId="0" fillId="2" borderId="0" xfId="0" applyFill="1" applyAlignment="1">
      <alignment horizontal="right"/>
    </xf>
    <xf numFmtId="0" fontId="6" fillId="2" borderId="0" xfId="0" applyFont="1" applyFill="1"/>
    <xf numFmtId="165" fontId="2" fillId="2" borderId="0" xfId="0" applyNumberFormat="1" applyFont="1" applyFill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167" fontId="2" fillId="2" borderId="0" xfId="0" applyNumberFormat="1" applyFont="1" applyFill="1"/>
    <xf numFmtId="0" fontId="2" fillId="2" borderId="0" xfId="0" applyFont="1" applyFill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0" fontId="0" fillId="0" borderId="0" xfId="0" quotePrefix="1"/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287253</xdr:colOff>
      <xdr:row>82</xdr:row>
      <xdr:rowOff>198814</xdr:rowOff>
    </xdr:from>
    <xdr:to>
      <xdr:col>8</xdr:col>
      <xdr:colOff>2850</xdr:colOff>
      <xdr:row>87</xdr:row>
      <xdr:rowOff>192830</xdr:rowOff>
    </xdr:to>
    <xdr:pic>
      <xdr:nvPicPr>
        <xdr:cNvPr id="7" name="Immagine 6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60489" y="16849207"/>
          <a:ext cx="1486208" cy="991544"/>
        </a:xfrm>
        <a:prstGeom prst="rect">
          <a:avLst/>
        </a:prstGeom>
      </xdr:spPr>
    </xdr:pic>
    <xdr:clientData/>
  </xdr:twoCellAnchor>
  <xdr:twoCellAnchor editAs="oneCell">
    <xdr:from>
      <xdr:col>4</xdr:col>
      <xdr:colOff>321425</xdr:colOff>
      <xdr:row>88</xdr:row>
      <xdr:rowOff>133882</xdr:rowOff>
    </xdr:from>
    <xdr:to>
      <xdr:col>7</xdr:col>
      <xdr:colOff>345555</xdr:colOff>
      <xdr:row>94</xdr:row>
      <xdr:rowOff>141459</xdr:rowOff>
    </xdr:to>
    <xdr:pic>
      <xdr:nvPicPr>
        <xdr:cNvPr id="8" name="Immagine 7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394661" y="17981307"/>
          <a:ext cx="1395730" cy="12046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P62"/>
  <sheetViews>
    <sheetView tabSelected="1" zoomScaleNormal="100" workbookViewId="0">
      <selection activeCell="K21" sqref="K21"/>
    </sheetView>
  </sheetViews>
  <sheetFormatPr defaultColWidth="8.81640625" defaultRowHeight="14.5"/>
  <cols>
    <col min="1" max="1" width="1.90625" style="8" customWidth="1"/>
    <col min="2" max="2" width="20.90625" style="8" customWidth="1"/>
    <col min="3" max="4" width="7.6328125" style="8" customWidth="1"/>
    <col min="5" max="7" width="8.81640625" style="8"/>
    <col min="8" max="8" width="7.36328125" style="8" customWidth="1"/>
    <col min="9" max="9" width="4.81640625" style="8" customWidth="1"/>
    <col min="10" max="10" width="11.08984375" style="8" customWidth="1"/>
    <col min="11" max="11" width="9.90625" style="8" customWidth="1"/>
    <col min="12" max="12" width="7.6328125" style="8" customWidth="1"/>
    <col min="13" max="14" width="8.81640625" style="8"/>
    <col min="15" max="15" width="26.81640625" style="8" customWidth="1"/>
    <col min="16" max="16384" width="8.81640625" style="8"/>
  </cols>
  <sheetData>
    <row r="1" spans="2:16" ht="21">
      <c r="B1" s="16" t="s">
        <v>146</v>
      </c>
    </row>
    <row r="2" spans="2:16">
      <c r="B2" s="7"/>
    </row>
    <row r="3" spans="2:16" ht="18.5">
      <c r="B3" s="20" t="s">
        <v>103</v>
      </c>
      <c r="C3" s="21"/>
      <c r="D3" s="21"/>
      <c r="E3" s="21"/>
      <c r="F3" s="21"/>
      <c r="G3" s="20" t="s">
        <v>168</v>
      </c>
      <c r="H3" s="21"/>
      <c r="I3" s="21"/>
      <c r="J3" s="20"/>
    </row>
    <row r="4" spans="2:16" ht="15.5">
      <c r="B4" s="2" t="s">
        <v>61</v>
      </c>
      <c r="C4" s="2">
        <v>220</v>
      </c>
      <c r="D4" s="2" t="s">
        <v>3</v>
      </c>
      <c r="E4" s="2"/>
      <c r="F4" s="2"/>
      <c r="G4" s="8" t="s">
        <v>169</v>
      </c>
      <c r="H4" s="2" t="s">
        <v>170</v>
      </c>
      <c r="I4" s="2"/>
      <c r="J4" s="2"/>
      <c r="K4" s="2"/>
      <c r="L4" s="2"/>
      <c r="M4" s="2"/>
      <c r="N4" s="2"/>
      <c r="O4" s="2"/>
      <c r="P4" s="2"/>
    </row>
    <row r="5" spans="2:16" ht="15.5">
      <c r="B5" s="2" t="s">
        <v>130</v>
      </c>
      <c r="C5" s="2">
        <v>4</v>
      </c>
      <c r="D5" s="2" t="s">
        <v>0</v>
      </c>
      <c r="E5" s="2"/>
      <c r="F5" s="2"/>
      <c r="G5" s="2">
        <v>25</v>
      </c>
      <c r="H5" s="2">
        <v>1.5</v>
      </c>
      <c r="I5" s="2"/>
      <c r="J5" s="2"/>
      <c r="K5" s="2"/>
      <c r="L5" s="2"/>
      <c r="M5" s="2"/>
      <c r="N5" s="2"/>
      <c r="O5" s="2"/>
      <c r="P5" s="2"/>
    </row>
    <row r="6" spans="2:16" ht="15.5">
      <c r="B6" s="2" t="s">
        <v>131</v>
      </c>
      <c r="C6" s="2">
        <v>25</v>
      </c>
      <c r="D6" s="2" t="s">
        <v>0</v>
      </c>
      <c r="E6" s="2"/>
      <c r="F6" s="2"/>
      <c r="G6" s="2">
        <v>50</v>
      </c>
      <c r="H6" s="2">
        <v>1.2</v>
      </c>
      <c r="I6" s="2"/>
      <c r="J6" s="2"/>
      <c r="K6" s="2"/>
      <c r="L6" s="2"/>
      <c r="M6" s="2"/>
      <c r="N6" s="2"/>
      <c r="O6" s="2"/>
      <c r="P6" s="2"/>
    </row>
    <row r="7" spans="2:16" ht="15.5">
      <c r="B7" s="2"/>
      <c r="C7" s="2"/>
      <c r="D7" s="2"/>
      <c r="E7" s="2"/>
      <c r="F7" s="2"/>
      <c r="G7" s="2">
        <v>63</v>
      </c>
      <c r="H7" s="2">
        <v>1.2</v>
      </c>
      <c r="I7" s="2"/>
      <c r="J7" s="2"/>
      <c r="K7" s="2"/>
      <c r="L7" s="2"/>
      <c r="M7" s="2"/>
      <c r="N7" s="2"/>
      <c r="O7" s="2"/>
      <c r="P7" s="2"/>
    </row>
    <row r="8" spans="2:16" ht="15.5">
      <c r="B8" s="1" t="s">
        <v>156</v>
      </c>
      <c r="C8" s="2"/>
      <c r="D8" s="2"/>
      <c r="E8" s="2"/>
      <c r="F8" s="2"/>
      <c r="G8" s="2">
        <v>80</v>
      </c>
      <c r="H8" s="2">
        <v>1</v>
      </c>
      <c r="I8" s="2"/>
      <c r="J8" s="1"/>
      <c r="K8" s="2"/>
      <c r="L8" s="2"/>
      <c r="M8" s="2"/>
      <c r="N8" s="2"/>
      <c r="O8" s="2"/>
      <c r="P8" s="2"/>
    </row>
    <row r="9" spans="2:16" ht="15.5">
      <c r="B9" s="2" t="s">
        <v>132</v>
      </c>
      <c r="C9" s="6">
        <f>0.2*C4*C6*C5</f>
        <v>4400</v>
      </c>
      <c r="D9" s="2" t="s">
        <v>17</v>
      </c>
      <c r="E9" s="2"/>
      <c r="F9" s="2"/>
      <c r="G9" s="2">
        <v>100</v>
      </c>
      <c r="H9" s="2">
        <v>1</v>
      </c>
      <c r="I9" s="2"/>
      <c r="J9" s="2"/>
      <c r="K9" s="3"/>
      <c r="L9" s="2"/>
      <c r="M9" s="2"/>
      <c r="N9" s="2"/>
      <c r="O9" s="2"/>
      <c r="P9" s="2"/>
    </row>
    <row r="10" spans="2:16" ht="15.5">
      <c r="B10" s="2" t="s">
        <v>147</v>
      </c>
      <c r="C10" s="2">
        <v>1.2</v>
      </c>
      <c r="D10" s="2" t="s">
        <v>155</v>
      </c>
      <c r="E10" s="2"/>
      <c r="F10" s="2"/>
      <c r="G10" s="2">
        <v>125</v>
      </c>
      <c r="H10" s="2">
        <v>1</v>
      </c>
      <c r="I10" s="2"/>
      <c r="J10" s="2"/>
      <c r="K10" s="2"/>
      <c r="L10" s="2"/>
      <c r="M10" s="2"/>
      <c r="N10" s="2"/>
      <c r="O10" s="2"/>
      <c r="P10" s="2"/>
    </row>
    <row r="11" spans="2:16" ht="15.5">
      <c r="B11" s="2" t="s">
        <v>148</v>
      </c>
      <c r="C11" s="6">
        <f>C9*C10</f>
        <v>5280</v>
      </c>
      <c r="D11" s="2" t="s">
        <v>17</v>
      </c>
      <c r="E11" s="2"/>
      <c r="F11" s="2"/>
      <c r="G11" s="2"/>
      <c r="H11" s="2"/>
      <c r="I11" s="2"/>
      <c r="J11" s="2"/>
      <c r="K11" s="3"/>
      <c r="L11" s="2"/>
      <c r="M11" s="2"/>
      <c r="N11" s="2"/>
      <c r="O11" s="2"/>
      <c r="P11" s="2"/>
    </row>
    <row r="12" spans="2:16" ht="15.5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2:16" ht="15.5">
      <c r="B13" s="30" t="s">
        <v>100</v>
      </c>
      <c r="C13" s="30"/>
      <c r="D13" s="30"/>
      <c r="E13" s="30"/>
      <c r="F13" s="30"/>
      <c r="G13" s="30"/>
      <c r="H13" s="30"/>
      <c r="I13" s="2"/>
      <c r="J13" s="30"/>
      <c r="K13" s="30"/>
      <c r="L13" s="30"/>
      <c r="M13" s="30"/>
      <c r="N13" s="30"/>
      <c r="O13" s="30"/>
      <c r="P13" s="30"/>
    </row>
    <row r="14" spans="2:16" ht="15.5">
      <c r="B14" s="2" t="s">
        <v>149</v>
      </c>
      <c r="C14" s="2">
        <v>6</v>
      </c>
      <c r="D14" s="2" t="s">
        <v>40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2:16" ht="15.5">
      <c r="B15" s="2" t="s">
        <v>150</v>
      </c>
      <c r="C15" s="17">
        <f>C11/(C14*10^5)</f>
        <v>8.8000000000000005E-3</v>
      </c>
      <c r="D15" s="2" t="s">
        <v>26</v>
      </c>
      <c r="E15" s="2"/>
      <c r="F15" s="2"/>
      <c r="G15" s="2"/>
      <c r="H15" s="2"/>
      <c r="I15" s="2"/>
      <c r="J15" s="2"/>
      <c r="K15" s="17"/>
      <c r="L15" s="2"/>
      <c r="M15" s="2"/>
      <c r="N15" s="2"/>
      <c r="O15" s="2"/>
      <c r="P15" s="2"/>
    </row>
    <row r="16" spans="2:16" ht="15.5">
      <c r="B16" s="2" t="s">
        <v>42</v>
      </c>
      <c r="C16" s="17">
        <f>(4*C15/PI())^0.5</f>
        <v>0.10585134856802454</v>
      </c>
      <c r="D16" s="2" t="s">
        <v>43</v>
      </c>
      <c r="E16" s="3">
        <f>C16*1000</f>
        <v>105.85134856802455</v>
      </c>
      <c r="F16" s="2" t="s">
        <v>0</v>
      </c>
      <c r="G16" s="2">
        <v>133</v>
      </c>
      <c r="H16" s="2"/>
      <c r="I16" s="2"/>
      <c r="J16" s="2"/>
      <c r="K16" s="17"/>
      <c r="L16" s="2"/>
      <c r="M16" s="3"/>
      <c r="N16" s="2"/>
      <c r="O16" s="2"/>
      <c r="P16" s="2"/>
    </row>
    <row r="17" spans="2:16" ht="15.5">
      <c r="B17" s="31" t="s">
        <v>154</v>
      </c>
      <c r="C17" s="31"/>
      <c r="D17" s="31"/>
      <c r="E17" s="31"/>
      <c r="F17" s="31"/>
      <c r="G17" s="31"/>
      <c r="H17" s="31"/>
      <c r="I17" s="2"/>
      <c r="J17" s="31"/>
      <c r="K17" s="31"/>
      <c r="L17" s="31"/>
      <c r="M17" s="31"/>
      <c r="N17" s="31"/>
      <c r="O17" s="31"/>
      <c r="P17" s="31"/>
    </row>
    <row r="18" spans="2:16" ht="15.5">
      <c r="B18" s="22" t="s">
        <v>135</v>
      </c>
      <c r="C18" s="19">
        <v>125</v>
      </c>
      <c r="D18" s="18" t="s">
        <v>0</v>
      </c>
      <c r="E18" s="22" t="e">
        <f ca="1">INDEX($G$5:$G$10, MATCH(G16, $G$5:$G$10, 1) + (INDIRECT("A" &amp; MATCH(E16, $G$5:$G$10, 1) + 1) &lt;E16))</f>
        <v>#REF!</v>
      </c>
      <c r="F18" s="18"/>
      <c r="G18" s="18"/>
      <c r="H18" s="22">
        <f ca="1">INDEX($G$5:$G$10, MATCH(E39, $G$5:$G$10, 1) + (INDIRECT("A" &amp; MATCH(E39, $G$5:$G$10, 1) + 1) &lt;E39))</f>
        <v>63</v>
      </c>
      <c r="I18" s="22"/>
      <c r="J18" s="26">
        <f t="array" ref="J18">IF(ISERROR(MIN(IF(G5:G10&gt;=G16, G5:G10))),"Non trovato",MIN(IF(G5:G10&gt;=G16, G5:G10)))</f>
        <v>0</v>
      </c>
      <c r="K18" s="26">
        <f t="array" ref="K18">IF(ISERROR(MIN(IF(G5:G10&gt;=G16, G5:G10))),"Non trovato",MIN(IF(G5:G10&gt;=G16, G5:G10)))</f>
        <v>0</v>
      </c>
      <c r="L18" s="18"/>
      <c r="M18" s="18"/>
      <c r="N18" s="18"/>
      <c r="O18" s="18"/>
      <c r="P18" s="18"/>
    </row>
    <row r="19" spans="2:16" ht="15.5">
      <c r="B19" s="2" t="s">
        <v>152</v>
      </c>
      <c r="C19" s="2">
        <v>1</v>
      </c>
      <c r="D19" s="2" t="s">
        <v>51</v>
      </c>
      <c r="E19" s="2" t="s">
        <v>151</v>
      </c>
      <c r="F19" s="2"/>
      <c r="G19" s="2"/>
      <c r="H19" s="2"/>
      <c r="I19" s="2"/>
      <c r="J19" s="2">
        <f t="array" ref="J19">MIN(IF(G5:G10&gt;=G16, G5:G10))</f>
        <v>0</v>
      </c>
      <c r="K19" s="2"/>
      <c r="L19" s="2"/>
      <c r="M19" s="2"/>
      <c r="N19" s="2"/>
      <c r="O19" s="2"/>
      <c r="P19" s="2"/>
    </row>
    <row r="20" spans="2:16" ht="15.5">
      <c r="B20" s="2" t="s">
        <v>44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2:16" ht="15.5">
      <c r="B21" s="2" t="s">
        <v>45</v>
      </c>
      <c r="C21" s="3">
        <f>(PI() * (C18/1000)^2/4* C14*10^5)</f>
        <v>7363.1077818510776</v>
      </c>
      <c r="D21" s="2" t="s">
        <v>46</v>
      </c>
      <c r="E21" s="2"/>
      <c r="F21" s="2"/>
      <c r="G21" s="2"/>
      <c r="H21" s="2"/>
      <c r="I21" s="2"/>
      <c r="J21" s="2"/>
      <c r="K21" s="3"/>
      <c r="L21" s="2"/>
      <c r="M21" s="2"/>
      <c r="N21" s="2"/>
      <c r="O21" s="2"/>
      <c r="P21" s="2"/>
    </row>
    <row r="22" spans="2:16" ht="15.5">
      <c r="B22" s="29" t="s">
        <v>107</v>
      </c>
      <c r="C22" s="29"/>
      <c r="D22" s="29"/>
      <c r="E22" s="29"/>
      <c r="F22" s="29"/>
      <c r="G22" s="29"/>
      <c r="H22" s="29"/>
      <c r="I22" s="2"/>
      <c r="J22" s="29"/>
      <c r="K22" s="29"/>
      <c r="L22" s="29"/>
      <c r="M22" s="29"/>
      <c r="N22" s="29"/>
      <c r="O22" s="29"/>
      <c r="P22" s="29"/>
    </row>
    <row r="23" spans="2:16" ht="15.5">
      <c r="B23" s="2" t="s">
        <v>47</v>
      </c>
      <c r="C23" s="2">
        <v>1</v>
      </c>
      <c r="D23" s="2" t="s">
        <v>48</v>
      </c>
      <c r="E23" s="2" t="s">
        <v>94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2:16" ht="15.5">
      <c r="B24" s="2" t="s">
        <v>49</v>
      </c>
      <c r="C24" s="2">
        <v>200</v>
      </c>
      <c r="D24" s="2" t="s">
        <v>0</v>
      </c>
      <c r="E24" s="2" t="s">
        <v>50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2:16" ht="15.5">
      <c r="B25" s="2" t="s">
        <v>52</v>
      </c>
      <c r="C25" s="14">
        <f>2*(C24/1000)/C19</f>
        <v>0.4</v>
      </c>
      <c r="D25" s="2" t="s">
        <v>51</v>
      </c>
      <c r="E25" s="2" t="s">
        <v>93</v>
      </c>
      <c r="F25" s="2"/>
      <c r="G25" s="2"/>
      <c r="H25" s="2"/>
      <c r="I25" s="2"/>
      <c r="J25" s="2"/>
      <c r="K25" s="14"/>
      <c r="L25" s="2"/>
      <c r="M25" s="2"/>
      <c r="N25" s="2"/>
      <c r="O25" s="2"/>
      <c r="P25" s="2"/>
    </row>
    <row r="26" spans="2:16" ht="15.5">
      <c r="B26" s="2" t="s">
        <v>53</v>
      </c>
      <c r="C26" s="2">
        <f>C19/C25</f>
        <v>2.5</v>
      </c>
      <c r="D26" s="2" t="s">
        <v>54</v>
      </c>
      <c r="E26" s="2" t="s">
        <v>55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2:16" ht="15.5">
      <c r="B27" s="2" t="s">
        <v>64</v>
      </c>
      <c r="C27" s="6">
        <f>C23*C26</f>
        <v>2.5</v>
      </c>
      <c r="D27" s="2" t="s">
        <v>17</v>
      </c>
      <c r="E27" s="2" t="s">
        <v>56</v>
      </c>
      <c r="F27" s="2"/>
      <c r="G27" s="2"/>
      <c r="H27" s="2"/>
      <c r="I27" s="2"/>
      <c r="J27" s="2"/>
      <c r="K27" s="6"/>
      <c r="L27" s="2"/>
      <c r="M27" s="2"/>
      <c r="N27" s="2"/>
      <c r="O27" s="2"/>
      <c r="P27" s="2"/>
    </row>
    <row r="28" spans="2:16" ht="15.5">
      <c r="B28" s="29" t="s">
        <v>136</v>
      </c>
      <c r="C28" s="29"/>
      <c r="D28" s="29"/>
      <c r="E28" s="29"/>
      <c r="F28" s="29"/>
      <c r="G28" s="29"/>
      <c r="H28" s="29"/>
      <c r="I28" s="2"/>
      <c r="J28" s="29"/>
      <c r="K28" s="29"/>
      <c r="L28" s="29"/>
      <c r="M28" s="29"/>
      <c r="N28" s="29"/>
      <c r="O28" s="29"/>
      <c r="P28" s="29"/>
    </row>
    <row r="29" spans="2:16" ht="15.5">
      <c r="B29" s="2" t="s">
        <v>81</v>
      </c>
      <c r="C29" s="3">
        <f>C11+C27</f>
        <v>5282.5</v>
      </c>
      <c r="D29" s="2" t="s">
        <v>143</v>
      </c>
      <c r="E29" s="2"/>
      <c r="F29" s="2"/>
      <c r="G29" s="2"/>
      <c r="H29" s="2"/>
      <c r="I29" s="2"/>
      <c r="J29" s="2"/>
      <c r="K29" s="3"/>
      <c r="L29" s="2"/>
      <c r="M29" s="2"/>
      <c r="N29" s="2"/>
      <c r="O29" s="2"/>
      <c r="P29" s="2"/>
    </row>
    <row r="30" spans="2:16" ht="15.5">
      <c r="B30" s="29" t="s">
        <v>58</v>
      </c>
      <c r="C30" s="29"/>
      <c r="D30" s="29"/>
      <c r="E30" s="29"/>
      <c r="F30" s="29"/>
      <c r="G30" s="29"/>
      <c r="H30" s="29"/>
      <c r="I30" s="2"/>
      <c r="J30" s="29"/>
      <c r="K30" s="29"/>
      <c r="L30" s="29"/>
      <c r="M30" s="29"/>
      <c r="N30" s="29"/>
      <c r="O30" s="29"/>
      <c r="P30" s="29"/>
    </row>
    <row r="31" spans="2:16" ht="15.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2:16" ht="15.5">
      <c r="B32" s="30" t="s">
        <v>99</v>
      </c>
      <c r="C32" s="30"/>
      <c r="D32" s="30"/>
      <c r="E32" s="30"/>
      <c r="F32" s="30"/>
      <c r="G32" s="30"/>
      <c r="H32" s="30"/>
      <c r="I32" s="2"/>
      <c r="J32" s="30"/>
      <c r="K32" s="30"/>
      <c r="L32" s="30"/>
      <c r="M32" s="30"/>
      <c r="N32" s="30"/>
      <c r="O32" s="30"/>
      <c r="P32" s="30"/>
    </row>
    <row r="33" spans="2:16" ht="15.5">
      <c r="B33" s="28" t="s">
        <v>137</v>
      </c>
      <c r="C33" s="23"/>
      <c r="D33" s="23"/>
      <c r="E33" s="23"/>
      <c r="F33" s="23"/>
      <c r="G33" s="23"/>
      <c r="H33" s="23"/>
      <c r="I33" s="2"/>
      <c r="J33" s="23"/>
      <c r="K33" s="23"/>
      <c r="L33" s="23"/>
      <c r="M33" s="23"/>
      <c r="N33" s="23"/>
      <c r="O33" s="23"/>
      <c r="P33" s="23"/>
    </row>
    <row r="34" spans="2:16" ht="15.5">
      <c r="B34" s="2" t="s">
        <v>82</v>
      </c>
      <c r="C34" s="2">
        <v>0.2</v>
      </c>
      <c r="D34" s="2" t="s">
        <v>138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2:16" ht="15.5">
      <c r="B35" s="2" t="s">
        <v>134</v>
      </c>
      <c r="C35" s="2">
        <v>1.2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2:16" ht="15.5">
      <c r="B36" s="2" t="s">
        <v>83</v>
      </c>
      <c r="C36" s="2">
        <f>C35*C11*C34</f>
        <v>1267.2</v>
      </c>
      <c r="D36" s="2" t="s">
        <v>17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2:16" ht="15.5">
      <c r="B37" s="2" t="s">
        <v>39</v>
      </c>
      <c r="C37" s="2">
        <v>6</v>
      </c>
      <c r="D37" s="2" t="s">
        <v>40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2:16" ht="15.5">
      <c r="B38" s="2" t="s">
        <v>41</v>
      </c>
      <c r="C38" s="17">
        <f>C36/(C37*10^5)</f>
        <v>2.1120000000000002E-3</v>
      </c>
      <c r="D38" s="2" t="s">
        <v>26</v>
      </c>
      <c r="E38" s="2"/>
      <c r="F38" s="2"/>
      <c r="G38" s="2"/>
      <c r="H38" s="2"/>
      <c r="I38" s="2"/>
      <c r="J38" s="2"/>
      <c r="K38" s="17"/>
      <c r="L38" s="2"/>
      <c r="M38" s="2"/>
      <c r="N38" s="2"/>
      <c r="O38" s="2"/>
      <c r="P38" s="2"/>
    </row>
    <row r="39" spans="2:16" ht="15.5">
      <c r="B39" s="2" t="s">
        <v>42</v>
      </c>
      <c r="C39" s="17">
        <f>(4*C38/PI())^0.5</f>
        <v>5.1856358515428594E-2</v>
      </c>
      <c r="D39" s="2" t="s">
        <v>43</v>
      </c>
      <c r="E39" s="3">
        <f>C39*1000</f>
        <v>51.856358515428596</v>
      </c>
      <c r="F39" s="2" t="s">
        <v>0</v>
      </c>
      <c r="G39" s="2"/>
      <c r="H39" s="2"/>
      <c r="I39" s="2"/>
      <c r="J39" s="2"/>
      <c r="K39" s="17"/>
      <c r="L39" s="2"/>
      <c r="M39" s="3"/>
      <c r="N39" s="2"/>
      <c r="O39" s="2"/>
      <c r="P39" s="2"/>
    </row>
    <row r="40" spans="2:16" ht="15.5">
      <c r="B40" s="31" t="s">
        <v>154</v>
      </c>
      <c r="C40" s="31"/>
      <c r="D40" s="31"/>
      <c r="E40" s="31"/>
      <c r="F40" s="31"/>
      <c r="G40" s="31"/>
      <c r="H40" s="31"/>
      <c r="I40" s="2"/>
      <c r="J40" s="31"/>
      <c r="K40" s="31"/>
      <c r="L40" s="31"/>
      <c r="M40" s="31"/>
      <c r="N40" s="31"/>
      <c r="O40" s="31"/>
      <c r="P40" s="31"/>
    </row>
    <row r="41" spans="2:16" ht="15.5">
      <c r="B41" s="22" t="s">
        <v>135</v>
      </c>
      <c r="C41" s="19">
        <v>63</v>
      </c>
      <c r="D41" s="18" t="s">
        <v>0</v>
      </c>
      <c r="F41" s="18"/>
      <c r="G41" s="18"/>
      <c r="H41" s="18"/>
      <c r="I41" s="2"/>
      <c r="J41" s="18"/>
      <c r="K41" s="19"/>
      <c r="L41" s="18"/>
      <c r="M41" s="18"/>
      <c r="N41" s="18"/>
      <c r="O41" s="18"/>
      <c r="P41" s="18"/>
    </row>
    <row r="42" spans="2:16" ht="15.5">
      <c r="B42" s="2" t="s">
        <v>152</v>
      </c>
      <c r="C42" s="2">
        <v>1</v>
      </c>
      <c r="D42" s="2" t="s">
        <v>51</v>
      </c>
      <c r="E42" s="2" t="s">
        <v>153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2:16" ht="15.5">
      <c r="B43" s="2" t="s">
        <v>44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2:16" ht="15.5">
      <c r="B44" s="2" t="s">
        <v>45</v>
      </c>
      <c r="C44" s="3">
        <f>(PI() * (C41/1000)^2/4* C14*10^5)</f>
        <v>1870.3471863146835</v>
      </c>
      <c r="D44" s="2" t="s">
        <v>46</v>
      </c>
      <c r="E44" s="2"/>
      <c r="F44" s="2"/>
      <c r="G44" s="2"/>
      <c r="H44" s="2"/>
      <c r="I44" s="2"/>
      <c r="J44" s="2"/>
      <c r="K44" s="3"/>
      <c r="L44" s="2"/>
      <c r="M44" s="2"/>
      <c r="N44" s="2"/>
      <c r="O44" s="2"/>
      <c r="P44" s="2"/>
    </row>
    <row r="45" spans="2:16" ht="15.5">
      <c r="B45" s="29" t="s">
        <v>107</v>
      </c>
      <c r="C45" s="29"/>
      <c r="D45" s="29"/>
      <c r="E45" s="29"/>
      <c r="F45" s="29"/>
      <c r="G45" s="29"/>
      <c r="H45" s="29"/>
      <c r="I45" s="2"/>
      <c r="J45" s="29"/>
      <c r="K45" s="29"/>
      <c r="L45" s="29"/>
      <c r="M45" s="29"/>
      <c r="N45" s="29"/>
      <c r="O45" s="29"/>
      <c r="P45" s="29"/>
    </row>
    <row r="46" spans="2:16" ht="15.5">
      <c r="B46" s="2" t="s">
        <v>47</v>
      </c>
      <c r="C46" s="2">
        <v>1</v>
      </c>
      <c r="D46" s="2" t="s">
        <v>48</v>
      </c>
      <c r="E46" s="2" t="s">
        <v>109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2:16" ht="15.5">
      <c r="B47" s="2" t="s">
        <v>49</v>
      </c>
      <c r="C47" s="2">
        <v>140</v>
      </c>
      <c r="D47" s="2" t="s">
        <v>0</v>
      </c>
      <c r="E47" s="2" t="s">
        <v>50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2:16" ht="15.5">
      <c r="B48" s="2" t="s">
        <v>52</v>
      </c>
      <c r="C48" s="2">
        <f>2*(C47/1000)/C42</f>
        <v>0.28000000000000003</v>
      </c>
      <c r="D48" s="2" t="s">
        <v>51</v>
      </c>
      <c r="E48" s="2" t="s">
        <v>93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2:16" ht="15.5">
      <c r="B49" s="2" t="s">
        <v>53</v>
      </c>
      <c r="C49" s="4">
        <f>C42/C48</f>
        <v>3.5714285714285712</v>
      </c>
      <c r="D49" s="2" t="s">
        <v>54</v>
      </c>
      <c r="E49" s="2" t="s">
        <v>55</v>
      </c>
      <c r="F49" s="2"/>
      <c r="G49" s="2"/>
      <c r="H49" s="2"/>
      <c r="I49" s="2"/>
      <c r="J49" s="2"/>
      <c r="K49" s="4"/>
      <c r="L49" s="2"/>
      <c r="M49" s="2"/>
      <c r="N49" s="2"/>
      <c r="O49" s="2"/>
      <c r="P49" s="2"/>
    </row>
    <row r="50" spans="2:16" ht="15.5">
      <c r="B50" s="2" t="s">
        <v>64</v>
      </c>
      <c r="C50" s="6">
        <f>C46*C49</f>
        <v>3.5714285714285712</v>
      </c>
      <c r="D50" s="2" t="s">
        <v>17</v>
      </c>
      <c r="E50" s="2" t="s">
        <v>56</v>
      </c>
      <c r="F50" s="2"/>
      <c r="G50" s="2"/>
      <c r="H50" s="2"/>
      <c r="I50" s="2"/>
      <c r="J50" s="2"/>
      <c r="K50" s="6"/>
      <c r="L50" s="2"/>
      <c r="M50" s="2"/>
      <c r="N50" s="2"/>
      <c r="O50" s="2"/>
      <c r="P50" s="2"/>
    </row>
    <row r="51" spans="2:16" ht="15.5">
      <c r="B51" s="29" t="s">
        <v>57</v>
      </c>
      <c r="C51" s="29"/>
      <c r="D51" s="29"/>
      <c r="E51" s="29"/>
      <c r="F51" s="29"/>
      <c r="G51" s="29"/>
      <c r="H51" s="29"/>
      <c r="I51" s="2"/>
      <c r="J51" s="29"/>
      <c r="K51" s="29"/>
      <c r="L51" s="29"/>
      <c r="M51" s="29"/>
      <c r="N51" s="29"/>
      <c r="O51" s="29"/>
      <c r="P51" s="29"/>
    </row>
    <row r="52" spans="2:16" ht="15.5">
      <c r="B52" s="2" t="s">
        <v>81</v>
      </c>
      <c r="C52" s="3">
        <f>C36+C50</f>
        <v>1270.7714285714287</v>
      </c>
      <c r="D52" s="2" t="s">
        <v>143</v>
      </c>
      <c r="E52" s="2"/>
      <c r="F52" s="2"/>
      <c r="G52" s="2"/>
      <c r="H52" s="2"/>
      <c r="I52" s="2"/>
      <c r="J52" s="2"/>
      <c r="K52" s="3"/>
      <c r="L52" s="2"/>
      <c r="M52" s="2"/>
      <c r="N52" s="2"/>
      <c r="O52" s="2"/>
      <c r="P52" s="2"/>
    </row>
    <row r="53" spans="2:16" ht="15.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2:16" ht="15.5">
      <c r="B54" s="1" t="s">
        <v>102</v>
      </c>
      <c r="C54" s="2"/>
      <c r="D54" s="2"/>
      <c r="E54" s="2"/>
      <c r="F54" s="2"/>
      <c r="G54" s="2"/>
      <c r="H54" s="2"/>
      <c r="I54" s="2"/>
      <c r="J54" s="1"/>
      <c r="K54" s="2"/>
      <c r="L54" s="2"/>
      <c r="M54" s="2"/>
      <c r="N54" s="2"/>
      <c r="O54" s="2"/>
      <c r="P54" s="2"/>
    </row>
    <row r="55" spans="2:16" ht="15.5">
      <c r="B55" s="2" t="s">
        <v>84</v>
      </c>
      <c r="C55" s="2">
        <v>10</v>
      </c>
      <c r="D55" s="2" t="s">
        <v>10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2:16" ht="15.5">
      <c r="B56" s="2" t="s">
        <v>85</v>
      </c>
      <c r="C56" s="2">
        <v>5</v>
      </c>
      <c r="D56" s="2" t="s">
        <v>10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2:16" ht="15.5">
      <c r="B57" s="2" t="s">
        <v>87</v>
      </c>
      <c r="C57" s="4">
        <f>C55+C56+2*C48+2*C25</f>
        <v>16.36</v>
      </c>
      <c r="D57" s="2" t="s">
        <v>10</v>
      </c>
      <c r="E57" s="2"/>
      <c r="F57" s="2"/>
      <c r="G57" s="2"/>
      <c r="H57" s="2"/>
      <c r="I57" s="2"/>
      <c r="J57" s="2"/>
      <c r="K57" s="4"/>
      <c r="L57" s="2"/>
      <c r="M57" s="2"/>
      <c r="N57" s="2"/>
      <c r="O57" s="2"/>
      <c r="P57" s="2"/>
    </row>
    <row r="58" spans="2:16" ht="15.5">
      <c r="B58" s="2" t="s">
        <v>88</v>
      </c>
      <c r="C58" s="2">
        <v>5000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2:16" ht="15.5">
      <c r="B59" s="2" t="s">
        <v>86</v>
      </c>
      <c r="C59" s="2">
        <f>C58*C57</f>
        <v>81800</v>
      </c>
      <c r="D59" s="2" t="s">
        <v>10</v>
      </c>
      <c r="E59" s="4">
        <f>C59/3600</f>
        <v>22.722222222222221</v>
      </c>
      <c r="F59" s="2" t="s">
        <v>89</v>
      </c>
      <c r="G59" s="2"/>
      <c r="H59" s="2"/>
      <c r="I59" s="2"/>
      <c r="J59" s="2"/>
      <c r="K59" s="2"/>
      <c r="L59" s="2"/>
      <c r="M59" s="4"/>
      <c r="N59" s="2"/>
      <c r="O59" s="2"/>
      <c r="P59" s="2"/>
    </row>
    <row r="60" spans="2:16" ht="15.5">
      <c r="B60" s="8" t="s">
        <v>128</v>
      </c>
      <c r="C60" s="2">
        <v>50</v>
      </c>
      <c r="D60" s="2" t="s">
        <v>90</v>
      </c>
      <c r="E60" s="2"/>
      <c r="F60" s="2"/>
      <c r="G60" s="2"/>
      <c r="H60" s="2"/>
      <c r="I60" s="2"/>
      <c r="K60" s="2"/>
      <c r="L60" s="2"/>
      <c r="M60" s="2"/>
      <c r="N60" s="2"/>
      <c r="O60" s="2"/>
      <c r="P60" s="2"/>
    </row>
    <row r="61" spans="2:16" ht="15.5">
      <c r="B61" s="2" t="s">
        <v>167</v>
      </c>
      <c r="C61" s="2">
        <v>500</v>
      </c>
      <c r="D61" s="2" t="s">
        <v>91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2:16" ht="15.5">
      <c r="B62" s="2" t="s">
        <v>166</v>
      </c>
      <c r="C62" s="2">
        <f>C61+C60*E59</f>
        <v>1636.1111111111111</v>
      </c>
      <c r="D62" s="2" t="s">
        <v>91</v>
      </c>
      <c r="E62" s="2"/>
      <c r="F62" s="2"/>
      <c r="G62" s="2"/>
      <c r="H62" s="2"/>
      <c r="I62" s="2"/>
      <c r="J62" s="2"/>
      <c r="K62" s="4"/>
      <c r="L62" s="2"/>
      <c r="M62" s="2"/>
      <c r="N62" s="2"/>
      <c r="O62" s="2"/>
      <c r="P62" s="2"/>
    </row>
  </sheetData>
  <mergeCells count="18">
    <mergeCell ref="B30:H30"/>
    <mergeCell ref="B45:H45"/>
    <mergeCell ref="B51:H51"/>
    <mergeCell ref="J13:P13"/>
    <mergeCell ref="J17:P17"/>
    <mergeCell ref="J22:P22"/>
    <mergeCell ref="J28:P28"/>
    <mergeCell ref="J30:P30"/>
    <mergeCell ref="J32:P32"/>
    <mergeCell ref="J40:P40"/>
    <mergeCell ref="J45:P45"/>
    <mergeCell ref="J51:P51"/>
    <mergeCell ref="B32:H32"/>
    <mergeCell ref="B40:H40"/>
    <mergeCell ref="B13:H13"/>
    <mergeCell ref="B17:H17"/>
    <mergeCell ref="B22:H22"/>
    <mergeCell ref="B28:H2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P116"/>
  <sheetViews>
    <sheetView topLeftCell="A76" workbookViewId="0">
      <selection activeCell="J99" sqref="J99"/>
    </sheetView>
  </sheetViews>
  <sheetFormatPr defaultColWidth="9.1796875" defaultRowHeight="15.5"/>
  <cols>
    <col min="1" max="1" width="1.81640625" style="2" customWidth="1"/>
    <col min="2" max="2" width="34.1796875" style="2" customWidth="1"/>
    <col min="3" max="3" width="11.08984375" style="2" customWidth="1"/>
    <col min="4" max="4" width="7.36328125" style="2" customWidth="1"/>
    <col min="5" max="5" width="5.54296875" style="2" customWidth="1"/>
    <col min="6" max="6" width="7.08984375" style="2" customWidth="1"/>
    <col min="7" max="7" width="5.6328125" style="2" customWidth="1"/>
    <col min="8" max="8" width="5.36328125" style="2" customWidth="1"/>
    <col min="9" max="9" width="9.1796875" style="2"/>
    <col min="10" max="10" width="30" style="2" customWidth="1"/>
    <col min="11" max="11" width="11.81640625" style="2" customWidth="1"/>
    <col min="12" max="12" width="9.1796875" style="2"/>
    <col min="13" max="13" width="6.6328125" style="2" customWidth="1"/>
    <col min="14" max="14" width="7.36328125" style="2" customWidth="1"/>
    <col min="15" max="16384" width="9.1796875" style="2"/>
  </cols>
  <sheetData>
    <row r="1" spans="2:10" ht="23.5">
      <c r="B1" s="5" t="s">
        <v>145</v>
      </c>
      <c r="J1" s="5"/>
    </row>
    <row r="2" spans="2:10" ht="21.65" customHeight="1">
      <c r="B2" s="20" t="s">
        <v>103</v>
      </c>
      <c r="J2" s="20"/>
    </row>
    <row r="3" spans="2:10" ht="9" customHeight="1">
      <c r="B3" s="1"/>
      <c r="J3" s="1"/>
    </row>
    <row r="4" spans="2:10">
      <c r="B4" s="1" t="s">
        <v>28</v>
      </c>
      <c r="J4" s="1"/>
    </row>
    <row r="5" spans="2:10">
      <c r="B5" s="2" t="s">
        <v>158</v>
      </c>
      <c r="C5" s="2">
        <v>6</v>
      </c>
      <c r="D5" s="2" t="s">
        <v>0</v>
      </c>
    </row>
    <row r="6" spans="2:10">
      <c r="B6" s="2" t="s">
        <v>157</v>
      </c>
      <c r="C6" s="2">
        <v>120</v>
      </c>
      <c r="D6" s="2" t="s">
        <v>1</v>
      </c>
    </row>
    <row r="8" spans="2:10">
      <c r="B8" s="1" t="s">
        <v>2</v>
      </c>
      <c r="J8" s="1"/>
    </row>
    <row r="9" spans="2:10">
      <c r="B9" s="2" t="s">
        <v>98</v>
      </c>
      <c r="C9" s="2">
        <v>220</v>
      </c>
      <c r="D9" s="2" t="s">
        <v>3</v>
      </c>
    </row>
    <row r="10" spans="2:10">
      <c r="B10" s="2" t="s">
        <v>19</v>
      </c>
      <c r="C10" s="2">
        <v>4</v>
      </c>
      <c r="D10" s="2" t="s">
        <v>0</v>
      </c>
    </row>
    <row r="11" spans="2:10">
      <c r="B11" s="2" t="s">
        <v>36</v>
      </c>
      <c r="C11" s="2">
        <v>3</v>
      </c>
      <c r="D11" s="2" t="s">
        <v>0</v>
      </c>
    </row>
    <row r="13" spans="2:10">
      <c r="B13" s="1" t="s">
        <v>159</v>
      </c>
      <c r="E13" s="2" t="s">
        <v>9</v>
      </c>
      <c r="F13" s="2" t="s">
        <v>59</v>
      </c>
      <c r="J13" s="1"/>
    </row>
    <row r="14" spans="2:10">
      <c r="B14" s="2" t="s">
        <v>4</v>
      </c>
      <c r="C14" s="2">
        <f>(E14+F14)/2</f>
        <v>0.26</v>
      </c>
      <c r="D14" s="2" t="s">
        <v>5</v>
      </c>
      <c r="E14" s="2">
        <v>0.02</v>
      </c>
      <c r="F14" s="2">
        <v>0.5</v>
      </c>
    </row>
    <row r="15" spans="2:10">
      <c r="B15" s="2" t="s">
        <v>112</v>
      </c>
      <c r="C15" s="2">
        <f>(E15+F15)/2</f>
        <v>85</v>
      </c>
      <c r="D15" s="2" t="s">
        <v>6</v>
      </c>
      <c r="E15" s="2">
        <v>50</v>
      </c>
      <c r="F15" s="2">
        <v>120</v>
      </c>
    </row>
    <row r="17" spans="2:14">
      <c r="B17" s="1" t="s">
        <v>8</v>
      </c>
      <c r="J17" s="1"/>
    </row>
    <row r="18" spans="2:14">
      <c r="B18" s="2" t="s">
        <v>18</v>
      </c>
      <c r="C18" s="6">
        <f>1000*C15/(PI()*$C$5)</f>
        <v>4509.3900542703677</v>
      </c>
      <c r="D18" s="2" t="s">
        <v>7</v>
      </c>
      <c r="E18" s="3"/>
      <c r="F18" s="3"/>
      <c r="K18" s="6"/>
      <c r="M18" s="3"/>
      <c r="N18" s="3"/>
    </row>
    <row r="19" spans="2:14">
      <c r="B19" s="27" t="s">
        <v>32</v>
      </c>
      <c r="C19" s="3"/>
      <c r="J19" s="27"/>
      <c r="K19" s="3"/>
    </row>
    <row r="20" spans="2:14">
      <c r="B20" s="2" t="s">
        <v>33</v>
      </c>
      <c r="C20" s="6">
        <f>C14*C18</f>
        <v>1172.4414141102957</v>
      </c>
      <c r="D20" s="2" t="s">
        <v>34</v>
      </c>
      <c r="E20" s="3"/>
      <c r="F20" s="3"/>
      <c r="K20" s="6"/>
      <c r="M20" s="3"/>
      <c r="N20" s="3"/>
    </row>
    <row r="21" spans="2:14">
      <c r="B21" s="27" t="s">
        <v>160</v>
      </c>
    </row>
    <row r="22" spans="2:14">
      <c r="B22" s="2" t="s">
        <v>35</v>
      </c>
      <c r="C22" s="14">
        <f>($C$10+$C$11+$C$5/(2*TAN(RADIANS($C$6/2))))/C20</f>
        <v>7.4477502265605094E-3</v>
      </c>
      <c r="D22" s="2" t="s">
        <v>9</v>
      </c>
      <c r="E22" s="4"/>
      <c r="F22" s="4"/>
      <c r="K22" s="17"/>
      <c r="M22" s="4"/>
      <c r="N22" s="4"/>
    </row>
    <row r="23" spans="2:14">
      <c r="C23" s="14">
        <f>C22*60</f>
        <v>0.44686501359363057</v>
      </c>
      <c r="D23" s="2" t="s">
        <v>10</v>
      </c>
      <c r="E23" s="4"/>
      <c r="F23" s="4"/>
      <c r="K23" s="4"/>
      <c r="M23" s="4"/>
      <c r="N23" s="4"/>
    </row>
    <row r="24" spans="2:14">
      <c r="B24" s="1" t="s">
        <v>95</v>
      </c>
      <c r="C24" s="4"/>
      <c r="E24" s="4"/>
      <c r="F24" s="4"/>
      <c r="J24" s="1"/>
      <c r="K24" s="4"/>
      <c r="M24" s="4"/>
      <c r="N24" s="4"/>
    </row>
    <row r="25" spans="2:14">
      <c r="B25" s="27" t="s">
        <v>11</v>
      </c>
    </row>
    <row r="26" spans="2:14">
      <c r="B26" s="2" t="s">
        <v>104</v>
      </c>
      <c r="C26" s="2">
        <f>5.4*$C$9</f>
        <v>1188</v>
      </c>
      <c r="D26" s="2" t="s">
        <v>3</v>
      </c>
    </row>
    <row r="27" spans="2:14">
      <c r="B27" s="27" t="s">
        <v>13</v>
      </c>
    </row>
    <row r="28" spans="2:14">
      <c r="B28" s="2" t="s">
        <v>14</v>
      </c>
      <c r="C28" s="2">
        <f>C14*$C$5/4</f>
        <v>0.39</v>
      </c>
      <c r="D28" s="2" t="s">
        <v>12</v>
      </c>
    </row>
    <row r="29" spans="2:14">
      <c r="B29" s="27" t="s">
        <v>15</v>
      </c>
    </row>
    <row r="30" spans="2:14">
      <c r="B30" s="2" t="s">
        <v>16</v>
      </c>
      <c r="C30" s="3">
        <f>C26*C28</f>
        <v>463.32</v>
      </c>
      <c r="D30" s="2" t="s">
        <v>17</v>
      </c>
      <c r="K30" s="3"/>
    </row>
    <row r="31" spans="2:14">
      <c r="B31" s="2" t="s">
        <v>21</v>
      </c>
    </row>
    <row r="32" spans="2:14">
      <c r="B32" s="2" t="s">
        <v>22</v>
      </c>
      <c r="C32" s="2">
        <f>0.6*$C$5</f>
        <v>3.5999999999999996</v>
      </c>
      <c r="D32" s="2" t="s">
        <v>0</v>
      </c>
    </row>
    <row r="33" spans="2:14">
      <c r="B33" s="2" t="s">
        <v>29</v>
      </c>
    </row>
    <row r="34" spans="2:14">
      <c r="B34" s="2" t="s">
        <v>20</v>
      </c>
      <c r="C34" s="3">
        <f>C30*C32/1000</f>
        <v>1.6679519999999999</v>
      </c>
      <c r="D34" s="2" t="s">
        <v>23</v>
      </c>
      <c r="K34" s="3"/>
    </row>
    <row r="35" spans="2:14">
      <c r="B35" s="2" t="s">
        <v>30</v>
      </c>
    </row>
    <row r="36" spans="2:14">
      <c r="B36" s="2" t="s">
        <v>31</v>
      </c>
      <c r="C36" s="6">
        <f>C34*2*3.14*C18/60</f>
        <v>787.24469805910519</v>
      </c>
      <c r="D36" s="2" t="s">
        <v>60</v>
      </c>
      <c r="K36" s="6"/>
    </row>
    <row r="37" spans="2:14">
      <c r="B37" s="2" t="s">
        <v>110</v>
      </c>
    </row>
    <row r="38" spans="2:14">
      <c r="B38" s="2" t="s">
        <v>133</v>
      </c>
      <c r="C38" s="2">
        <v>1.2</v>
      </c>
    </row>
    <row r="39" spans="2:14">
      <c r="B39" s="2" t="s">
        <v>161</v>
      </c>
      <c r="C39" s="6">
        <f>C30*SIN(RADIANS($C$6/2))</f>
        <v>401.24689008140609</v>
      </c>
      <c r="D39" s="2" t="s">
        <v>17</v>
      </c>
      <c r="K39" s="6"/>
    </row>
    <row r="40" spans="2:14">
      <c r="B40" s="2" t="s">
        <v>113</v>
      </c>
      <c r="C40" s="6">
        <f>C38*2*C30*SIN(RADIANS($C$6/2))</f>
        <v>962.99253619537444</v>
      </c>
      <c r="D40" s="2" t="s">
        <v>17</v>
      </c>
      <c r="E40" s="3"/>
      <c r="F40" s="3"/>
      <c r="K40" s="6"/>
      <c r="M40" s="3"/>
      <c r="N40" s="3"/>
    </row>
    <row r="42" spans="2:14">
      <c r="B42" s="1" t="s">
        <v>139</v>
      </c>
      <c r="C42" s="1"/>
      <c r="J42" s="1"/>
      <c r="K42" s="1"/>
    </row>
    <row r="43" spans="2:14">
      <c r="B43" s="2" t="s">
        <v>114</v>
      </c>
      <c r="C43" s="2">
        <v>6</v>
      </c>
      <c r="D43" s="2" t="s">
        <v>25</v>
      </c>
    </row>
    <row r="44" spans="2:14">
      <c r="B44" s="27" t="s">
        <v>115</v>
      </c>
      <c r="J44" s="27"/>
    </row>
    <row r="45" spans="2:14">
      <c r="B45" s="2" t="s">
        <v>37</v>
      </c>
      <c r="C45" s="17">
        <f>C40/(100000*C43)</f>
        <v>1.604987560325624E-3</v>
      </c>
      <c r="D45" s="2" t="s">
        <v>26</v>
      </c>
      <c r="K45" s="17"/>
      <c r="M45" s="25"/>
    </row>
    <row r="46" spans="2:14">
      <c r="B46" s="27" t="s">
        <v>27</v>
      </c>
    </row>
    <row r="47" spans="2:14">
      <c r="B47" s="2" t="s">
        <v>38</v>
      </c>
      <c r="C47" s="17">
        <f>(4*C45/3.14)^0.5</f>
        <v>4.5216923165361397E-2</v>
      </c>
      <c r="D47" s="2" t="s">
        <v>26</v>
      </c>
      <c r="K47" s="17"/>
    </row>
    <row r="48" spans="2:14">
      <c r="C48" s="6">
        <f>C47*1000</f>
        <v>45.216923165361401</v>
      </c>
      <c r="D48" s="2" t="s">
        <v>0</v>
      </c>
      <c r="E48" s="6"/>
      <c r="F48" s="6"/>
      <c r="K48" s="6"/>
      <c r="M48" s="6"/>
      <c r="N48" s="6"/>
    </row>
    <row r="49" spans="2:16">
      <c r="B49" s="1" t="s">
        <v>96</v>
      </c>
      <c r="J49" s="1"/>
    </row>
    <row r="50" spans="2:16">
      <c r="B50" s="31" t="s">
        <v>111</v>
      </c>
      <c r="C50" s="31"/>
      <c r="D50" s="31"/>
      <c r="E50" s="31"/>
      <c r="F50" s="31"/>
      <c r="G50" s="31"/>
      <c r="H50" s="31"/>
      <c r="J50" s="31"/>
      <c r="K50" s="31"/>
      <c r="L50" s="31"/>
      <c r="M50" s="31"/>
      <c r="N50" s="31"/>
      <c r="O50" s="31"/>
      <c r="P50" s="31"/>
    </row>
    <row r="51" spans="2:16">
      <c r="B51" s="2" t="s">
        <v>116</v>
      </c>
      <c r="C51" s="2">
        <v>20</v>
      </c>
      <c r="D51" s="2" t="s">
        <v>65</v>
      </c>
    </row>
    <row r="52" spans="2:16">
      <c r="B52" s="2" t="s">
        <v>121</v>
      </c>
      <c r="C52" s="2">
        <v>50</v>
      </c>
      <c r="D52" s="2" t="s">
        <v>0</v>
      </c>
    </row>
    <row r="53" spans="2:16">
      <c r="B53" s="2" t="s">
        <v>152</v>
      </c>
      <c r="C53" s="2">
        <v>0.5</v>
      </c>
      <c r="D53" s="2" t="s">
        <v>51</v>
      </c>
    </row>
    <row r="54" spans="2:16">
      <c r="B54" s="2" t="s">
        <v>50</v>
      </c>
      <c r="C54" s="2">
        <v>150</v>
      </c>
      <c r="D54" s="2" t="s">
        <v>0</v>
      </c>
    </row>
    <row r="55" spans="2:16">
      <c r="B55" s="2" t="s">
        <v>62</v>
      </c>
      <c r="C55" s="4">
        <f>2*(C54/1000)/C53</f>
        <v>0.6</v>
      </c>
      <c r="D55" s="2" t="s">
        <v>10</v>
      </c>
      <c r="K55" s="4"/>
    </row>
    <row r="56" spans="2:16">
      <c r="B56" s="2" t="s">
        <v>117</v>
      </c>
      <c r="C56" s="4">
        <f>C55+C23</f>
        <v>1.0468650135936306</v>
      </c>
      <c r="D56" s="2" t="s">
        <v>10</v>
      </c>
      <c r="K56" s="4"/>
    </row>
    <row r="57" spans="2:16">
      <c r="B57" s="8" t="s">
        <v>63</v>
      </c>
      <c r="C57" s="8"/>
      <c r="D57" s="8"/>
      <c r="J57" s="8"/>
      <c r="K57" s="8"/>
      <c r="L57" s="8"/>
    </row>
    <row r="58" spans="2:16">
      <c r="B58" s="8" t="s">
        <v>24</v>
      </c>
      <c r="C58" s="8">
        <v>6</v>
      </c>
      <c r="D58" s="8" t="s">
        <v>25</v>
      </c>
      <c r="J58" s="8"/>
      <c r="K58" s="8"/>
      <c r="L58" s="8"/>
    </row>
    <row r="59" spans="2:16">
      <c r="B59" s="8" t="s">
        <v>45</v>
      </c>
      <c r="C59" s="9">
        <f>(PI() * (C52/1000)^2/4* C58*10^5)</f>
        <v>1178.0972450961726</v>
      </c>
      <c r="D59" s="8" t="s">
        <v>46</v>
      </c>
      <c r="J59" s="8"/>
      <c r="K59" s="9"/>
      <c r="L59" s="8"/>
    </row>
    <row r="60" spans="2:16">
      <c r="B60" s="31" t="s">
        <v>107</v>
      </c>
      <c r="C60" s="31"/>
      <c r="D60" s="31"/>
      <c r="E60" s="31"/>
      <c r="F60" s="31"/>
      <c r="G60" s="31"/>
      <c r="H60" s="31"/>
      <c r="J60" s="29"/>
      <c r="K60" s="29"/>
      <c r="L60" s="29"/>
      <c r="M60" s="29"/>
      <c r="N60" s="29"/>
      <c r="O60" s="29"/>
      <c r="P60" s="29"/>
    </row>
    <row r="61" spans="2:16">
      <c r="B61" s="2" t="s">
        <v>53</v>
      </c>
      <c r="C61" s="4">
        <f>C53/C55</f>
        <v>0.83333333333333337</v>
      </c>
      <c r="D61" s="2" t="s">
        <v>54</v>
      </c>
      <c r="K61" s="4"/>
    </row>
    <row r="62" spans="2:16">
      <c r="B62" s="2" t="s">
        <v>118</v>
      </c>
      <c r="C62" s="4">
        <f>C51*C61</f>
        <v>16.666666666666668</v>
      </c>
      <c r="D62" s="2" t="s">
        <v>17</v>
      </c>
      <c r="K62" s="4"/>
    </row>
    <row r="63" spans="2:16">
      <c r="B63" s="2" t="s">
        <v>66</v>
      </c>
      <c r="C63" s="3">
        <f>C40+C62</f>
        <v>979.65920286204107</v>
      </c>
      <c r="D63" s="2" t="s">
        <v>143</v>
      </c>
      <c r="K63" s="3"/>
    </row>
    <row r="65" spans="2:16">
      <c r="B65" s="1" t="s">
        <v>140</v>
      </c>
      <c r="J65" s="1"/>
    </row>
    <row r="66" spans="2:16">
      <c r="B66" s="8" t="s">
        <v>119</v>
      </c>
      <c r="C66" s="8">
        <v>0.2</v>
      </c>
      <c r="D66" s="8"/>
      <c r="E66" s="8"/>
      <c r="F66" s="8"/>
      <c r="G66" s="8"/>
      <c r="H66" s="8"/>
      <c r="J66" s="8"/>
      <c r="K66" s="8"/>
      <c r="L66" s="8"/>
      <c r="M66" s="8"/>
      <c r="N66" s="8"/>
      <c r="O66" s="8"/>
      <c r="P66" s="8"/>
    </row>
    <row r="67" spans="2:16">
      <c r="B67" s="2" t="s">
        <v>133</v>
      </c>
      <c r="C67" s="2">
        <v>1.2</v>
      </c>
    </row>
    <row r="68" spans="2:16">
      <c r="B68" s="8" t="s">
        <v>120</v>
      </c>
      <c r="C68" s="11">
        <f>C67*C63*C66</f>
        <v>235.11820868688983</v>
      </c>
      <c r="D68" s="8" t="s">
        <v>17</v>
      </c>
      <c r="E68" s="8"/>
      <c r="F68" s="8"/>
      <c r="G68" s="8"/>
      <c r="H68" s="8"/>
      <c r="J68" s="8"/>
      <c r="K68" s="11"/>
      <c r="L68" s="8"/>
      <c r="M68" s="8"/>
      <c r="N68" s="8"/>
      <c r="O68" s="8"/>
      <c r="P68" s="8"/>
    </row>
    <row r="69" spans="2:16">
      <c r="B69" s="8" t="s">
        <v>39</v>
      </c>
      <c r="C69" s="8">
        <v>6</v>
      </c>
      <c r="D69" s="8" t="s">
        <v>40</v>
      </c>
      <c r="E69" s="8"/>
      <c r="F69" s="8"/>
      <c r="G69" s="8"/>
      <c r="H69" s="8"/>
      <c r="J69" s="8"/>
      <c r="K69" s="8"/>
      <c r="L69" s="8"/>
      <c r="M69" s="8"/>
      <c r="N69" s="8"/>
      <c r="O69" s="8"/>
      <c r="P69" s="8"/>
    </row>
    <row r="70" spans="2:16">
      <c r="B70" s="8" t="s">
        <v>41</v>
      </c>
      <c r="C70" s="13">
        <f>C68/(C69*10^5)</f>
        <v>3.9186368114481638E-4</v>
      </c>
      <c r="D70" s="8" t="s">
        <v>26</v>
      </c>
      <c r="E70" s="8"/>
      <c r="F70" s="8"/>
      <c r="G70" s="8"/>
      <c r="H70" s="8"/>
      <c r="J70" s="8"/>
      <c r="K70" s="13"/>
      <c r="L70" s="8"/>
      <c r="M70" s="8"/>
      <c r="N70" s="8"/>
      <c r="O70" s="8"/>
      <c r="P70" s="8"/>
    </row>
    <row r="71" spans="2:16">
      <c r="B71" s="8" t="s">
        <v>42</v>
      </c>
      <c r="C71" s="13">
        <f>(4*C70/PI())^0.5</f>
        <v>2.233688283935498E-2</v>
      </c>
      <c r="D71" s="8" t="s">
        <v>43</v>
      </c>
      <c r="E71" s="9">
        <f>C71*1000</f>
        <v>22.336882839354981</v>
      </c>
      <c r="F71" s="8" t="s">
        <v>0</v>
      </c>
      <c r="G71" s="8"/>
      <c r="H71" s="8"/>
      <c r="J71" s="8"/>
      <c r="K71" s="13"/>
      <c r="L71" s="8"/>
      <c r="M71" s="9"/>
      <c r="N71" s="8"/>
      <c r="O71" s="8"/>
      <c r="P71" s="8"/>
    </row>
    <row r="72" spans="2:16">
      <c r="B72" s="31" t="s">
        <v>154</v>
      </c>
      <c r="C72" s="31"/>
      <c r="D72" s="31"/>
      <c r="E72" s="31"/>
      <c r="F72" s="31"/>
      <c r="G72" s="31"/>
      <c r="H72" s="31"/>
      <c r="J72" s="31"/>
      <c r="K72" s="31"/>
      <c r="L72" s="31"/>
      <c r="M72" s="31"/>
      <c r="N72" s="31"/>
      <c r="O72" s="31"/>
      <c r="P72" s="31"/>
    </row>
    <row r="73" spans="2:16">
      <c r="B73" s="2" t="s">
        <v>121</v>
      </c>
      <c r="C73" s="15">
        <v>25</v>
      </c>
      <c r="D73" s="12" t="s">
        <v>0</v>
      </c>
      <c r="E73" s="12"/>
      <c r="F73" s="12"/>
      <c r="G73" s="12"/>
      <c r="H73" s="12"/>
      <c r="K73" s="15"/>
      <c r="L73" s="12"/>
      <c r="M73" s="12"/>
      <c r="N73" s="12"/>
      <c r="O73" s="12"/>
      <c r="P73" s="12"/>
    </row>
    <row r="74" spans="2:16">
      <c r="B74" s="2" t="s">
        <v>152</v>
      </c>
      <c r="C74" s="2">
        <v>1</v>
      </c>
      <c r="D74" s="2" t="s">
        <v>51</v>
      </c>
      <c r="M74" s="24"/>
      <c r="N74" s="24"/>
      <c r="O74" s="24"/>
      <c r="P74" s="24"/>
    </row>
    <row r="75" spans="2:16">
      <c r="B75" s="8" t="s">
        <v>45</v>
      </c>
      <c r="C75" s="9">
        <f>(PI() * (C73/1000)^2/4* C69*10^5)</f>
        <v>294.52431127404316</v>
      </c>
      <c r="D75" s="8" t="s">
        <v>46</v>
      </c>
      <c r="E75" s="8"/>
      <c r="F75" s="8"/>
      <c r="G75" s="8"/>
      <c r="H75" s="8"/>
      <c r="J75" s="8"/>
      <c r="K75" s="9"/>
      <c r="L75" s="8"/>
      <c r="M75" s="8"/>
      <c r="N75" s="8"/>
      <c r="O75" s="8"/>
      <c r="P75" s="8"/>
    </row>
    <row r="76" spans="2:16">
      <c r="B76" s="12" t="s">
        <v>50</v>
      </c>
      <c r="C76" s="15">
        <v>100</v>
      </c>
      <c r="D76" s="2" t="s">
        <v>0</v>
      </c>
      <c r="J76" s="12"/>
      <c r="K76" s="15"/>
    </row>
    <row r="77" spans="2:16">
      <c r="B77" s="2" t="s">
        <v>62</v>
      </c>
      <c r="C77" s="4">
        <f>2*(C76/1000)/C74</f>
        <v>0.2</v>
      </c>
      <c r="D77" s="2" t="s">
        <v>10</v>
      </c>
      <c r="K77" s="4"/>
    </row>
    <row r="78" spans="2:16">
      <c r="B78" s="31" t="s">
        <v>107</v>
      </c>
      <c r="C78" s="31"/>
      <c r="D78" s="31"/>
      <c r="E78" s="31"/>
      <c r="F78" s="31"/>
      <c r="G78" s="31"/>
      <c r="H78" s="31"/>
      <c r="K78" s="4"/>
    </row>
    <row r="79" spans="2:16">
      <c r="B79" s="22" t="s">
        <v>43</v>
      </c>
      <c r="C79" s="19">
        <v>1</v>
      </c>
      <c r="D79" s="22" t="s">
        <v>65</v>
      </c>
      <c r="E79" s="22"/>
      <c r="F79" s="22"/>
      <c r="G79" s="22"/>
      <c r="H79" s="22"/>
      <c r="K79" s="4"/>
    </row>
    <row r="80" spans="2:16">
      <c r="B80" s="2" t="s">
        <v>53</v>
      </c>
      <c r="C80" s="4">
        <f>C74/C77</f>
        <v>5</v>
      </c>
      <c r="D80" s="2" t="s">
        <v>54</v>
      </c>
      <c r="K80" s="4"/>
    </row>
    <row r="81" spans="2:11">
      <c r="B81" s="2" t="s">
        <v>118</v>
      </c>
      <c r="C81" s="4">
        <f>C79*C80</f>
        <v>5</v>
      </c>
      <c r="D81" s="2" t="s">
        <v>17</v>
      </c>
      <c r="K81" s="4"/>
    </row>
    <row r="82" spans="2:11">
      <c r="B82" s="2" t="s">
        <v>66</v>
      </c>
      <c r="C82" s="3">
        <f>C68+C81</f>
        <v>240.11820868688983</v>
      </c>
      <c r="D82" s="2" t="s">
        <v>143</v>
      </c>
      <c r="K82" s="4"/>
    </row>
    <row r="84" spans="2:11">
      <c r="B84" s="1" t="s">
        <v>77</v>
      </c>
      <c r="J84" s="1"/>
    </row>
    <row r="85" spans="2:11">
      <c r="B85" s="2" t="s">
        <v>122</v>
      </c>
      <c r="C85" s="4">
        <v>2690</v>
      </c>
      <c r="D85" s="2" t="s">
        <v>67</v>
      </c>
      <c r="K85" s="4"/>
    </row>
    <row r="86" spans="2:11">
      <c r="B86" s="2" t="s">
        <v>78</v>
      </c>
      <c r="C86" s="4">
        <f>70*70*50*C85/10^9</f>
        <v>0.65905000000000002</v>
      </c>
      <c r="D86" s="2" t="s">
        <v>65</v>
      </c>
      <c r="K86" s="4"/>
    </row>
    <row r="87" spans="2:11">
      <c r="B87" s="2" t="s">
        <v>73</v>
      </c>
      <c r="C87" s="4">
        <f>C86*(70^2+70^2)/12</f>
        <v>538.22416666666675</v>
      </c>
      <c r="D87" s="2" t="s">
        <v>105</v>
      </c>
      <c r="K87" s="4"/>
    </row>
    <row r="88" spans="2:11">
      <c r="B88" s="2" t="s">
        <v>79</v>
      </c>
      <c r="C88" s="4">
        <f>350*350*20*$C$85/10^9</f>
        <v>6.5904999999999996</v>
      </c>
      <c r="D88" s="2" t="s">
        <v>65</v>
      </c>
      <c r="K88" s="4"/>
    </row>
    <row r="89" spans="2:11">
      <c r="B89" s="2" t="s">
        <v>74</v>
      </c>
      <c r="C89" s="4">
        <f>C88*(350^2+350^2)/12</f>
        <v>134556.04166666666</v>
      </c>
      <c r="D89" s="2" t="s">
        <v>105</v>
      </c>
      <c r="K89" s="4"/>
    </row>
    <row r="90" spans="2:11">
      <c r="B90" s="2" t="s">
        <v>80</v>
      </c>
      <c r="C90" s="4">
        <f>3.14*75^2*C85*100/10^9</f>
        <v>4.7512125000000003</v>
      </c>
      <c r="D90" s="2" t="s">
        <v>65</v>
      </c>
      <c r="K90" s="4"/>
    </row>
    <row r="91" spans="2:11">
      <c r="B91" s="2" t="s">
        <v>75</v>
      </c>
      <c r="C91" s="4">
        <f>C90*75^2/2</f>
        <v>13362.78515625</v>
      </c>
      <c r="D91" s="2" t="s">
        <v>105</v>
      </c>
      <c r="K91" s="4"/>
    </row>
    <row r="92" spans="2:11">
      <c r="B92" s="2" t="s">
        <v>76</v>
      </c>
      <c r="C92" s="4">
        <f>C87+C89+C91</f>
        <v>148457.05098958331</v>
      </c>
      <c r="D92" s="2" t="s">
        <v>105</v>
      </c>
      <c r="K92" s="4"/>
    </row>
    <row r="93" spans="2:11">
      <c r="C93" s="14">
        <f>C92*10^-6</f>
        <v>0.14845705098958331</v>
      </c>
      <c r="D93" s="2" t="s">
        <v>106</v>
      </c>
      <c r="K93" s="14"/>
    </row>
    <row r="94" spans="2:11">
      <c r="B94" s="2" t="s">
        <v>123</v>
      </c>
      <c r="C94" s="3">
        <f>C86+C88+C90</f>
        <v>12.0007625</v>
      </c>
      <c r="D94" s="2" t="s">
        <v>65</v>
      </c>
      <c r="K94" s="3"/>
    </row>
    <row r="96" spans="2:11">
      <c r="B96" s="1" t="s">
        <v>101</v>
      </c>
      <c r="J96" s="1"/>
    </row>
    <row r="97" spans="2:14">
      <c r="B97" s="2" t="s">
        <v>124</v>
      </c>
    </row>
    <row r="98" spans="2:14">
      <c r="B98" s="2" t="s">
        <v>142</v>
      </c>
    </row>
    <row r="99" spans="2:14">
      <c r="B99" s="2" t="s">
        <v>68</v>
      </c>
      <c r="C99" s="2">
        <v>2</v>
      </c>
      <c r="D99" s="2" t="s">
        <v>10</v>
      </c>
    </row>
    <row r="100" spans="2:14">
      <c r="B100" s="2" t="s">
        <v>141</v>
      </c>
      <c r="C100" s="2">
        <v>180</v>
      </c>
      <c r="D100" s="2" t="s">
        <v>144</v>
      </c>
      <c r="E100" s="2">
        <v>3.14</v>
      </c>
      <c r="F100" s="2" t="s">
        <v>69</v>
      </c>
    </row>
    <row r="101" spans="2:14">
      <c r="B101" s="2" t="s">
        <v>108</v>
      </c>
      <c r="C101" s="4">
        <f>2*E100/C99^2</f>
        <v>1.57</v>
      </c>
      <c r="D101" s="2" t="s">
        <v>70</v>
      </c>
      <c r="K101" s="4"/>
    </row>
    <row r="102" spans="2:14">
      <c r="B102" s="2" t="s">
        <v>162</v>
      </c>
      <c r="C102" s="4">
        <f>C101*C99</f>
        <v>3.14</v>
      </c>
      <c r="D102" s="2" t="s">
        <v>71</v>
      </c>
      <c r="K102" s="4"/>
    </row>
    <row r="103" spans="2:14">
      <c r="B103" s="2" t="s">
        <v>163</v>
      </c>
      <c r="C103" s="14">
        <f>C92*C101/10^6</f>
        <v>0.23307757005364582</v>
      </c>
      <c r="D103" s="2" t="s">
        <v>23</v>
      </c>
      <c r="K103" s="14"/>
    </row>
    <row r="104" spans="2:14">
      <c r="B104" s="2" t="s">
        <v>164</v>
      </c>
      <c r="C104" s="14">
        <f>0.5*C92*C102^2/10^6</f>
        <v>0.73186356996844781</v>
      </c>
      <c r="D104" s="2" t="s">
        <v>72</v>
      </c>
      <c r="K104" s="14"/>
    </row>
    <row r="106" spans="2:14">
      <c r="B106" s="1" t="s">
        <v>97</v>
      </c>
      <c r="J106" s="1"/>
    </row>
    <row r="107" spans="2:14">
      <c r="B107" s="8" t="s">
        <v>125</v>
      </c>
      <c r="C107" s="8">
        <v>10</v>
      </c>
      <c r="D107" s="8" t="s">
        <v>10</v>
      </c>
      <c r="J107" s="8"/>
      <c r="K107" s="8"/>
      <c r="L107" s="8"/>
    </row>
    <row r="108" spans="2:14">
      <c r="B108" s="8" t="s">
        <v>126</v>
      </c>
      <c r="C108" s="8">
        <v>5</v>
      </c>
      <c r="D108" s="8" t="s">
        <v>10</v>
      </c>
      <c r="J108" s="8"/>
      <c r="K108" s="8"/>
      <c r="L108" s="8"/>
    </row>
    <row r="109" spans="2:14">
      <c r="B109" s="2" t="s">
        <v>92</v>
      </c>
      <c r="C109" s="4">
        <f>C77*4+C56*3+C55*2+C107+C108+C99</f>
        <v>22.140595040780891</v>
      </c>
      <c r="D109" s="2" t="s">
        <v>10</v>
      </c>
      <c r="K109" s="4"/>
    </row>
    <row r="110" spans="2:14">
      <c r="B110" s="8" t="s">
        <v>127</v>
      </c>
      <c r="C110" s="8">
        <v>5000</v>
      </c>
      <c r="D110" s="8"/>
      <c r="E110" s="8"/>
      <c r="F110" s="8"/>
      <c r="J110" s="8"/>
      <c r="K110" s="8"/>
      <c r="L110" s="8"/>
      <c r="M110" s="8"/>
      <c r="N110" s="8"/>
    </row>
    <row r="111" spans="2:14">
      <c r="B111" s="8" t="s">
        <v>165</v>
      </c>
      <c r="C111" s="10">
        <f>C110*C109</f>
        <v>110702.97520390445</v>
      </c>
      <c r="D111" s="8" t="s">
        <v>10</v>
      </c>
      <c r="J111" s="8"/>
      <c r="K111" s="10"/>
      <c r="L111" s="8"/>
    </row>
    <row r="112" spans="2:14">
      <c r="B112" s="8"/>
      <c r="C112" s="11">
        <f>C111/3600</f>
        <v>30.750826445529015</v>
      </c>
      <c r="D112" s="8" t="s">
        <v>89</v>
      </c>
      <c r="E112" s="11"/>
      <c r="F112" s="8"/>
      <c r="J112" s="8"/>
      <c r="K112" s="11"/>
      <c r="L112" s="8"/>
      <c r="M112" s="11"/>
      <c r="N112" s="8"/>
    </row>
    <row r="113" spans="2:14">
      <c r="B113" s="8" t="s">
        <v>128</v>
      </c>
      <c r="C113" s="8">
        <v>50</v>
      </c>
      <c r="D113" s="8" t="s">
        <v>90</v>
      </c>
      <c r="E113" s="8"/>
      <c r="F113" s="8"/>
      <c r="J113" s="8"/>
      <c r="K113" s="8"/>
      <c r="L113" s="8"/>
      <c r="M113" s="8"/>
      <c r="N113" s="8"/>
    </row>
    <row r="114" spans="2:14">
      <c r="B114" s="8" t="s">
        <v>129</v>
      </c>
      <c r="C114" s="8">
        <v>500</v>
      </c>
      <c r="D114" s="8" t="s">
        <v>91</v>
      </c>
      <c r="E114" s="8"/>
      <c r="F114" s="8"/>
      <c r="J114" s="8"/>
      <c r="K114" s="8"/>
      <c r="L114" s="8"/>
      <c r="M114" s="8"/>
      <c r="N114" s="8"/>
    </row>
    <row r="115" spans="2:14">
      <c r="B115" s="8" t="s">
        <v>166</v>
      </c>
      <c r="C115" s="10">
        <f>C114+C113*C112</f>
        <v>2037.5413222764507</v>
      </c>
      <c r="D115" s="8" t="s">
        <v>91</v>
      </c>
      <c r="E115" s="8"/>
      <c r="F115" s="8"/>
      <c r="J115" s="8"/>
      <c r="K115" s="10"/>
      <c r="L115" s="8"/>
      <c r="M115" s="8"/>
      <c r="N115" s="8"/>
    </row>
    <row r="116" spans="2:14">
      <c r="B116" s="8"/>
      <c r="C116" s="8"/>
      <c r="D116" s="8"/>
      <c r="E116" s="8"/>
      <c r="F116" s="8"/>
    </row>
  </sheetData>
  <mergeCells count="7">
    <mergeCell ref="B78:H78"/>
    <mergeCell ref="B72:H72"/>
    <mergeCell ref="J72:P72"/>
    <mergeCell ref="B50:H50"/>
    <mergeCell ref="J50:P50"/>
    <mergeCell ref="B60:H60"/>
    <mergeCell ref="J60:P60"/>
  </mergeCells>
  <pageMargins left="0.25" right="0.25" top="0.75" bottom="0.75" header="0.3" footer="0.3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C7"/>
  <sheetViews>
    <sheetView workbookViewId="0">
      <selection activeCell="A3" sqref="A3"/>
    </sheetView>
  </sheetViews>
  <sheetFormatPr defaultRowHeight="14.5"/>
  <sheetData>
    <row r="1" spans="1:3">
      <c r="A1" t="s">
        <v>41</v>
      </c>
      <c r="B1" t="s">
        <v>171</v>
      </c>
      <c r="C1" t="s">
        <v>172</v>
      </c>
    </row>
    <row r="2" spans="1:3">
      <c r="A2">
        <v>43</v>
      </c>
      <c r="B2">
        <v>40</v>
      </c>
      <c r="C2">
        <v>1</v>
      </c>
    </row>
    <row r="3" spans="1:3">
      <c r="B3">
        <v>55</v>
      </c>
      <c r="C3">
        <v>2</v>
      </c>
    </row>
    <row r="4" spans="1:3">
      <c r="B4">
        <v>60</v>
      </c>
      <c r="C4">
        <v>3</v>
      </c>
    </row>
    <row r="6" spans="1:3" ht="15.5">
      <c r="A6" s="26">
        <f ca="1">INDEX(B2:B4, MATCH(A2, B2:B4, 1) + (INDIRECT("A" &amp; MATCH(A2, B2:B4, 1) + 1) &lt;A2))</f>
        <v>40</v>
      </c>
    </row>
    <row r="7" spans="1:3">
      <c r="A7" s="32" t="s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Piegatura</vt:lpstr>
      <vt:lpstr>Foratura</vt:lpstr>
      <vt:lpstr>Foglio1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i911900</dc:creator>
  <cp:lastModifiedBy>R5800u</cp:lastModifiedBy>
  <cp:lastPrinted>2022-02-08T12:07:02Z</cp:lastPrinted>
  <dcterms:created xsi:type="dcterms:W3CDTF">2022-02-08T11:27:59Z</dcterms:created>
  <dcterms:modified xsi:type="dcterms:W3CDTF">2025-05-01T16:05:16Z</dcterms:modified>
</cp:coreProperties>
</file>